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G:\Board of Directors\BoD Calendars, Contacts, Committees, Composition &amp; Terms\2025\"/>
    </mc:Choice>
  </mc:AlternateContent>
  <xr:revisionPtr revIDLastSave="0" documentId="13_ncr:1_{55A4EA62-6A9E-40AF-9AF7-2C63DDA29B51}" xr6:coauthVersionLast="47" xr6:coauthVersionMax="47" xr10:uidLastSave="{00000000-0000-0000-0000-000000000000}"/>
  <bookViews>
    <workbookView xWindow="-120" yWindow="-120" windowWidth="29040" windowHeight="15840" xr2:uid="{00000000-000D-0000-FFFF-FFFF00000000}"/>
  </bookViews>
  <sheets>
    <sheet name="Calendar" sheetId="1" r:id="rId1"/>
  </sheets>
  <definedNames>
    <definedName name="AprSun1">DATEVALUE("4/1/"&amp;Calendar!$B$4)-WEEKDAY(DATEVALUE("4/1/"&amp;Calendar!$B$4))+1</definedName>
    <definedName name="AugSun1">DATEVALUE("8/1/"&amp;Calendar!$B$4)-WEEKDAY(DATEVALUE("8/1/"&amp;Calendar!$B$4))+1</definedName>
    <definedName name="ColumnTitleRegion1..H9.1">Calendar!$B$6</definedName>
    <definedName name="ColumnTitleRegion1..I9.1">Calendar!$B$6</definedName>
    <definedName name="ColumnTitleRegion10..AF9.1">Calendar!$Z$6</definedName>
    <definedName name="ColumnTitleRegion10..AG9.1">Calendar!$Z$6</definedName>
    <definedName name="ColumnTitleRegion11..AF18.1">Calendar!$Z$15</definedName>
    <definedName name="ColumnTitleRegion11..AG18.1">Calendar!$Z$15</definedName>
    <definedName name="ColumnTitleRegion12..AF27.1">Calendar!$Z$24</definedName>
    <definedName name="ColumnTitleRegion12..AG27.1">Calendar!$Z$24</definedName>
    <definedName name="ColumnTitleRegion2..H18.1">Calendar!$B$15</definedName>
    <definedName name="ColumnTitleRegion2..I18.1">Calendar!$B$15</definedName>
    <definedName name="ColumnTitleRegion3..H27.1">Calendar!$B$24</definedName>
    <definedName name="ColumnTitleRegion3..I27.1">Calendar!$B$24</definedName>
    <definedName name="ColumnTitleRegion4..P9.1">Calendar!$J$6</definedName>
    <definedName name="ColumnTitleRegion4..Q9.1">Calendar!$J$6</definedName>
    <definedName name="ColumnTitleRegion5..P18.1">Calendar!$J$15</definedName>
    <definedName name="ColumnTitleRegion5..Q18.1">Calendar!$J$15</definedName>
    <definedName name="ColumnTitleRegion6..P27.1">Calendar!$J$24</definedName>
    <definedName name="ColumnTitleRegion6..Q27.1">Calendar!$J$24</definedName>
    <definedName name="ColumnTitleRegion7..X9.1">Calendar!$R$6</definedName>
    <definedName name="ColumnTitleRegion7..Y9.1">Calendar!$R$6</definedName>
    <definedName name="ColumnTitleRegion8..X18.1">Calendar!$R$15</definedName>
    <definedName name="ColumnTitleRegion8..Y18.1">Calendar!$R$15</definedName>
    <definedName name="ColumnTitleRegion9..X27.1">Calendar!$R$24</definedName>
    <definedName name="ColumnTitleRegion9..Y27.1">Calendar!$R$24</definedName>
    <definedName name="DecSun1">DATEVALUE("12/1/"&amp;Calendar!$B$4)-WEEKDAY(DATEVALUE("12/1/"&amp;Calendar!$B$4))+1</definedName>
    <definedName name="FebSun1">DATEVALUE("2/1/"&amp;Calendar!$B$4)-WEEKDAY(DATEVALUE("2/1/"&amp;Calendar!$B$4))+1</definedName>
    <definedName name="JanSun1">DATEVALUE("1/1/"&amp;Calendar!$B$4)-WEEKDAY(DATEVALUE("1/1/"&amp;Calendar!$B$4))+1</definedName>
    <definedName name="JulSun1">DATEVALUE("7/1/"&amp;Calendar!$B$4)-WEEKDAY(DATEVALUE("7/1/"&amp;Calendar!$B$4))+1</definedName>
    <definedName name="JunSun1">DATEVALUE("6/1/"&amp;Calendar!$B$4)-WEEKDAY(DATEVALUE("6/1/"&amp;Calendar!$B$4))+1</definedName>
    <definedName name="MarSun1">DATEVALUE("3/1/"&amp;Calendar!$B$4)-WEEKDAY(DATEVALUE("3/1/"&amp;Calendar!$B$4))+1</definedName>
    <definedName name="MaySun1">DATEVALUE("5/1/"&amp;Calendar!$B$4)-WEEKDAY(DATEVALUE("5/1/"&amp;Calendar!$B$4))+1</definedName>
    <definedName name="NovSun1">DATEVALUE("11/1/"&amp;Calendar!$B$4)-WEEKDAY(DATEVALUE("11/1/"&amp;Calendar!$B$4))+1</definedName>
    <definedName name="OctSun1">DATEVALUE("10/1/"&amp;Calendar!$B$4)-WEEKDAY(DATEVALUE("10/1/"&amp;Calendar!$B$4))+1</definedName>
    <definedName name="SepSun1">DATEVALUE("9/1/"&amp;Calendar!$B$4)-WEEKDAY(DATEVALUE("9/1/"&amp;Calendar!$B$4))+1</definedName>
    <definedName name="Year">Calendar!$B$4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0" i="1" l="1"/>
  <c r="AF7" i="1" l="1"/>
  <c r="J8" i="1"/>
  <c r="F18" i="1"/>
  <c r="AF9" i="1"/>
  <c r="P10" i="1"/>
  <c r="B9" i="1"/>
  <c r="P11" i="1"/>
  <c r="G7" i="1"/>
  <c r="E9" i="1"/>
  <c r="AC11" i="1"/>
  <c r="P7" i="1"/>
  <c r="L8" i="1"/>
  <c r="P9" i="1"/>
  <c r="AC10" i="1"/>
  <c r="B12" i="1"/>
  <c r="T7" i="1"/>
  <c r="X8" i="1"/>
  <c r="AB9" i="1"/>
  <c r="AF10" i="1"/>
  <c r="U12" i="1"/>
  <c r="X16" i="1"/>
  <c r="E7" i="1"/>
  <c r="AC7" i="1"/>
  <c r="U8" i="1"/>
  <c r="N9" i="1"/>
  <c r="L10" i="1"/>
  <c r="L11" i="1"/>
  <c r="P12" i="1"/>
  <c r="AC17" i="1"/>
  <c r="K16" i="1"/>
  <c r="H27" i="1"/>
  <c r="K7" i="1"/>
  <c r="W7" i="1"/>
  <c r="C8" i="1"/>
  <c r="O8" i="1"/>
  <c r="AB8" i="1"/>
  <c r="G9" i="1"/>
  <c r="T9" i="1"/>
  <c r="E10" i="1"/>
  <c r="T10" i="1"/>
  <c r="E11" i="1"/>
  <c r="U11" i="1"/>
  <c r="E12" i="1"/>
  <c r="AD12" i="1"/>
  <c r="B17" i="1"/>
  <c r="U18" i="1"/>
  <c r="B7" i="1"/>
  <c r="N7" i="1"/>
  <c r="Z7" i="1"/>
  <c r="F8" i="1"/>
  <c r="S8" i="1"/>
  <c r="AD8" i="1"/>
  <c r="K9" i="1"/>
  <c r="X9" i="1"/>
  <c r="G10" i="1"/>
  <c r="X10" i="1"/>
  <c r="J11" i="1"/>
  <c r="X11" i="1"/>
  <c r="N12" i="1"/>
  <c r="E16" i="1"/>
  <c r="G17" i="1"/>
  <c r="M21" i="1"/>
  <c r="V19" i="1"/>
  <c r="J12" i="1"/>
  <c r="Z12" i="1"/>
  <c r="O16" i="1"/>
  <c r="P17" i="1"/>
  <c r="D19" i="1"/>
  <c r="R25" i="1"/>
  <c r="S20" i="1"/>
  <c r="AE28" i="1"/>
  <c r="F7" i="1"/>
  <c r="L7" i="1"/>
  <c r="S7" i="1"/>
  <c r="X7" i="1"/>
  <c r="AD7" i="1"/>
  <c r="E8" i="1"/>
  <c r="K8" i="1"/>
  <c r="P8" i="1"/>
  <c r="W8" i="1"/>
  <c r="AC8" i="1"/>
  <c r="C9" i="1"/>
  <c r="J9" i="1"/>
  <c r="O9" i="1"/>
  <c r="U9" i="1"/>
  <c r="AD9" i="1"/>
  <c r="F10" i="1"/>
  <c r="N10" i="1"/>
  <c r="W10" i="1"/>
  <c r="AD10" i="1"/>
  <c r="F11" i="1"/>
  <c r="O11" i="1"/>
  <c r="W11" i="1"/>
  <c r="AD11" i="1"/>
  <c r="G12" i="1"/>
  <c r="O12" i="1"/>
  <c r="W12" i="1"/>
  <c r="B16" i="1"/>
  <c r="L16" i="1"/>
  <c r="AC16" i="1"/>
  <c r="O17" i="1"/>
  <c r="C18" i="1"/>
  <c r="X18" i="1"/>
  <c r="H20" i="1"/>
  <c r="AE21" i="1"/>
  <c r="AA27" i="1"/>
  <c r="C7" i="1"/>
  <c r="J7" i="1"/>
  <c r="O7" i="1"/>
  <c r="U7" i="1"/>
  <c r="AB7" i="1"/>
  <c r="B8" i="1"/>
  <c r="G8" i="1"/>
  <c r="N8" i="1"/>
  <c r="T8" i="1"/>
  <c r="Z8" i="1"/>
  <c r="AF8" i="1"/>
  <c r="F9" i="1"/>
  <c r="L9" i="1"/>
  <c r="S9" i="1"/>
  <c r="Z9" i="1"/>
  <c r="B10" i="1"/>
  <c r="K10" i="1"/>
  <c r="S10" i="1"/>
  <c r="Z10" i="1"/>
  <c r="C11" i="1"/>
  <c r="K11" i="1"/>
  <c r="S11" i="1"/>
  <c r="AB11" i="1"/>
  <c r="C12" i="1"/>
  <c r="K12" i="1"/>
  <c r="T12" i="1"/>
  <c r="AB12" i="1"/>
  <c r="F16" i="1"/>
  <c r="U16" i="1"/>
  <c r="F17" i="1"/>
  <c r="T17" i="1"/>
  <c r="O18" i="1"/>
  <c r="N19" i="1"/>
  <c r="AA20" i="1"/>
  <c r="V26" i="1"/>
  <c r="AA29" i="1"/>
  <c r="D7" i="1"/>
  <c r="H7" i="1"/>
  <c r="M7" i="1"/>
  <c r="R7" i="1"/>
  <c r="V7" i="1"/>
  <c r="AA7" i="1"/>
  <c r="AE7" i="1"/>
  <c r="D8" i="1"/>
  <c r="H8" i="1"/>
  <c r="M8" i="1"/>
  <c r="R8" i="1"/>
  <c r="V8" i="1"/>
  <c r="AA8" i="1"/>
  <c r="AE8" i="1"/>
  <c r="D9" i="1"/>
  <c r="H9" i="1"/>
  <c r="M9" i="1"/>
  <c r="R9" i="1"/>
  <c r="W9" i="1"/>
  <c r="AC9" i="1"/>
  <c r="C10" i="1"/>
  <c r="J10" i="1"/>
  <c r="O10" i="1"/>
  <c r="U10" i="1"/>
  <c r="AB10" i="1"/>
  <c r="B11" i="1"/>
  <c r="G11" i="1"/>
  <c r="N11" i="1"/>
  <c r="T11" i="1"/>
  <c r="Z11" i="1"/>
  <c r="AF11" i="1"/>
  <c r="F12" i="1"/>
  <c r="L12" i="1"/>
  <c r="S12" i="1"/>
  <c r="X12" i="1"/>
  <c r="AF12" i="1"/>
  <c r="G16" i="1"/>
  <c r="T16" i="1"/>
  <c r="AD16" i="1"/>
  <c r="K17" i="1"/>
  <c r="Z17" i="1"/>
  <c r="L18" i="1"/>
  <c r="AE18" i="1"/>
  <c r="AF19" i="1"/>
  <c r="E21" i="1"/>
  <c r="D26" i="1"/>
  <c r="M28" i="1"/>
  <c r="AC12" i="1"/>
  <c r="C16" i="1"/>
  <c r="J16" i="1"/>
  <c r="P16" i="1"/>
  <c r="Z16" i="1"/>
  <c r="C17" i="1"/>
  <c r="L17" i="1"/>
  <c r="U17" i="1"/>
  <c r="AD17" i="1"/>
  <c r="G18" i="1"/>
  <c r="P18" i="1"/>
  <c r="Z18" i="1"/>
  <c r="E19" i="1"/>
  <c r="W19" i="1"/>
  <c r="J20" i="1"/>
  <c r="AB20" i="1"/>
  <c r="N21" i="1"/>
  <c r="AF21" i="1"/>
  <c r="S25" i="1"/>
  <c r="E26" i="1"/>
  <c r="W26" i="1"/>
  <c r="J27" i="1"/>
  <c r="AB27" i="1"/>
  <c r="N28" i="1"/>
  <c r="AF28" i="1"/>
  <c r="AB29" i="1"/>
  <c r="X17" i="1"/>
  <c r="B18" i="1"/>
  <c r="K18" i="1"/>
  <c r="T18" i="1"/>
  <c r="AD18" i="1"/>
  <c r="M19" i="1"/>
  <c r="AE19" i="1"/>
  <c r="R20" i="1"/>
  <c r="D21" i="1"/>
  <c r="V21" i="1"/>
  <c r="H25" i="1"/>
  <c r="AA25" i="1"/>
  <c r="M26" i="1"/>
  <c r="AE26" i="1"/>
  <c r="R27" i="1"/>
  <c r="D28" i="1"/>
  <c r="V28" i="1"/>
  <c r="H29" i="1"/>
  <c r="M30" i="1"/>
  <c r="W21" i="1"/>
  <c r="J25" i="1"/>
  <c r="AB25" i="1"/>
  <c r="N26" i="1"/>
  <c r="AF26" i="1"/>
  <c r="S27" i="1"/>
  <c r="E28" i="1"/>
  <c r="W28" i="1"/>
  <c r="J29" i="1"/>
  <c r="N30" i="1"/>
  <c r="R29" i="1"/>
  <c r="D30" i="1"/>
  <c r="V30" i="1"/>
  <c r="S29" i="1"/>
  <c r="E30" i="1"/>
  <c r="W30" i="1"/>
  <c r="V9" i="1"/>
  <c r="AA9" i="1"/>
  <c r="AE9" i="1"/>
  <c r="D10" i="1"/>
  <c r="H10" i="1"/>
  <c r="M10" i="1"/>
  <c r="R10" i="1"/>
  <c r="V10" i="1"/>
  <c r="AA10" i="1"/>
  <c r="AE10" i="1"/>
  <c r="D11" i="1"/>
  <c r="H11" i="1"/>
  <c r="M11" i="1"/>
  <c r="R11" i="1"/>
  <c r="V11" i="1"/>
  <c r="AA11" i="1"/>
  <c r="AE11" i="1"/>
  <c r="D12" i="1"/>
  <c r="H12" i="1"/>
  <c r="M12" i="1"/>
  <c r="R12" i="1"/>
  <c r="V12" i="1"/>
  <c r="AA12" i="1"/>
  <c r="AE12" i="1"/>
  <c r="D16" i="1"/>
  <c r="H16" i="1"/>
  <c r="M16" i="1"/>
  <c r="R16" i="1"/>
  <c r="V16" i="1"/>
  <c r="AA16" i="1"/>
  <c r="AE16" i="1"/>
  <c r="D17" i="1"/>
  <c r="H17" i="1"/>
  <c r="M17" i="1"/>
  <c r="R17" i="1"/>
  <c r="V17" i="1"/>
  <c r="AA17" i="1"/>
  <c r="AE17" i="1"/>
  <c r="D18" i="1"/>
  <c r="H18" i="1"/>
  <c r="M18" i="1"/>
  <c r="R18" i="1"/>
  <c r="V18" i="1"/>
  <c r="AA18" i="1"/>
  <c r="AF18" i="1"/>
  <c r="H19" i="1"/>
  <c r="R19" i="1"/>
  <c r="AA19" i="1"/>
  <c r="D20" i="1"/>
  <c r="M20" i="1"/>
  <c r="V20" i="1"/>
  <c r="AE20" i="1"/>
  <c r="H21" i="1"/>
  <c r="R21" i="1"/>
  <c r="AA21" i="1"/>
  <c r="D25" i="1"/>
  <c r="M25" i="1"/>
  <c r="V25" i="1"/>
  <c r="AE25" i="1"/>
  <c r="H26" i="1"/>
  <c r="R26" i="1"/>
  <c r="AA26" i="1"/>
  <c r="D27" i="1"/>
  <c r="M27" i="1"/>
  <c r="V27" i="1"/>
  <c r="AE27" i="1"/>
  <c r="H28" i="1"/>
  <c r="R28" i="1"/>
  <c r="AA28" i="1"/>
  <c r="D29" i="1"/>
  <c r="M29" i="1"/>
  <c r="V29" i="1"/>
  <c r="AE29" i="1"/>
  <c r="H30" i="1"/>
  <c r="R30" i="1"/>
  <c r="AA30" i="1"/>
  <c r="N16" i="1"/>
  <c r="S16" i="1"/>
  <c r="W16" i="1"/>
  <c r="AB16" i="1"/>
  <c r="AF16" i="1"/>
  <c r="E17" i="1"/>
  <c r="J17" i="1"/>
  <c r="N17" i="1"/>
  <c r="S17" i="1"/>
  <c r="W17" i="1"/>
  <c r="AB17" i="1"/>
  <c r="AF17" i="1"/>
  <c r="E18" i="1"/>
  <c r="J18" i="1"/>
  <c r="N18" i="1"/>
  <c r="S18" i="1"/>
  <c r="W18" i="1"/>
  <c r="AB18" i="1"/>
  <c r="C19" i="1"/>
  <c r="J19" i="1"/>
  <c r="S19" i="1"/>
  <c r="AB19" i="1"/>
  <c r="E20" i="1"/>
  <c r="N20" i="1"/>
  <c r="W20" i="1"/>
  <c r="AF20" i="1"/>
  <c r="J21" i="1"/>
  <c r="S21" i="1"/>
  <c r="AB21" i="1"/>
  <c r="E25" i="1"/>
  <c r="N25" i="1"/>
  <c r="W25" i="1"/>
  <c r="AF25" i="1"/>
  <c r="J26" i="1"/>
  <c r="S26" i="1"/>
  <c r="AB26" i="1"/>
  <c r="E27" i="1"/>
  <c r="N27" i="1"/>
  <c r="W27" i="1"/>
  <c r="AF27" i="1"/>
  <c r="J28" i="1"/>
  <c r="S28" i="1"/>
  <c r="AB28" i="1"/>
  <c r="E29" i="1"/>
  <c r="N29" i="1"/>
  <c r="W29" i="1"/>
  <c r="AF29" i="1"/>
  <c r="J30" i="1"/>
  <c r="S30" i="1"/>
  <c r="AB30" i="1"/>
  <c r="AC18" i="1"/>
  <c r="B19" i="1"/>
  <c r="F19" i="1"/>
  <c r="K19" i="1"/>
  <c r="O19" i="1"/>
  <c r="T19" i="1"/>
  <c r="X19" i="1"/>
  <c r="AC19" i="1"/>
  <c r="B20" i="1"/>
  <c r="F20" i="1"/>
  <c r="K20" i="1"/>
  <c r="O20" i="1"/>
  <c r="T20" i="1"/>
  <c r="X20" i="1"/>
  <c r="AC20" i="1"/>
  <c r="B21" i="1"/>
  <c r="F21" i="1"/>
  <c r="K21" i="1"/>
  <c r="O21" i="1"/>
  <c r="T21" i="1"/>
  <c r="X21" i="1"/>
  <c r="AC21" i="1"/>
  <c r="B25" i="1"/>
  <c r="F25" i="1"/>
  <c r="K25" i="1"/>
  <c r="O25" i="1"/>
  <c r="T25" i="1"/>
  <c r="X25" i="1"/>
  <c r="AC25" i="1"/>
  <c r="B26" i="1"/>
  <c r="F26" i="1"/>
  <c r="K26" i="1"/>
  <c r="O26" i="1"/>
  <c r="T26" i="1"/>
  <c r="X26" i="1"/>
  <c r="AC26" i="1"/>
  <c r="B27" i="1"/>
  <c r="F27" i="1"/>
  <c r="K27" i="1"/>
  <c r="O27" i="1"/>
  <c r="T27" i="1"/>
  <c r="X27" i="1"/>
  <c r="AC27" i="1"/>
  <c r="B28" i="1"/>
  <c r="F28" i="1"/>
  <c r="K28" i="1"/>
  <c r="O28" i="1"/>
  <c r="T28" i="1"/>
  <c r="X28" i="1"/>
  <c r="AC28" i="1"/>
  <c r="B29" i="1"/>
  <c r="F29" i="1"/>
  <c r="K29" i="1"/>
  <c r="O29" i="1"/>
  <c r="T29" i="1"/>
  <c r="X29" i="1"/>
  <c r="AC29" i="1"/>
  <c r="B30" i="1"/>
  <c r="F30" i="1"/>
  <c r="K30" i="1"/>
  <c r="O30" i="1"/>
  <c r="T30" i="1"/>
  <c r="X30" i="1"/>
  <c r="AC30" i="1"/>
  <c r="G19" i="1"/>
  <c r="L19" i="1"/>
  <c r="P19" i="1"/>
  <c r="U19" i="1"/>
  <c r="Z19" i="1"/>
  <c r="AD19" i="1"/>
  <c r="C20" i="1"/>
  <c r="G20" i="1"/>
  <c r="L20" i="1"/>
  <c r="P20" i="1"/>
  <c r="U20" i="1"/>
  <c r="Z20" i="1"/>
  <c r="AD20" i="1"/>
  <c r="C21" i="1"/>
  <c r="G21" i="1"/>
  <c r="L21" i="1"/>
  <c r="P21" i="1"/>
  <c r="U21" i="1"/>
  <c r="Z21" i="1"/>
  <c r="AD21" i="1"/>
  <c r="C25" i="1"/>
  <c r="G25" i="1"/>
  <c r="L25" i="1"/>
  <c r="P25" i="1"/>
  <c r="U25" i="1"/>
  <c r="Z25" i="1"/>
  <c r="AD25" i="1"/>
  <c r="C26" i="1"/>
  <c r="G26" i="1"/>
  <c r="L26" i="1"/>
  <c r="P26" i="1"/>
  <c r="U26" i="1"/>
  <c r="Z26" i="1"/>
  <c r="AD26" i="1"/>
  <c r="C27" i="1"/>
  <c r="G27" i="1"/>
  <c r="L27" i="1"/>
  <c r="P27" i="1"/>
  <c r="U27" i="1"/>
  <c r="Z27" i="1"/>
  <c r="AD27" i="1"/>
  <c r="C28" i="1"/>
  <c r="G28" i="1"/>
  <c r="L28" i="1"/>
  <c r="P28" i="1"/>
  <c r="U28" i="1"/>
  <c r="Z28" i="1"/>
  <c r="AD28" i="1"/>
  <c r="C29" i="1"/>
  <c r="G29" i="1"/>
  <c r="L29" i="1"/>
  <c r="P29" i="1"/>
  <c r="U29" i="1"/>
  <c r="Z29" i="1"/>
  <c r="AD29" i="1"/>
  <c r="C30" i="1"/>
  <c r="G30" i="1"/>
  <c r="L30" i="1"/>
  <c r="P30" i="1"/>
  <c r="U30" i="1"/>
  <c r="Z30" i="1"/>
  <c r="AE30" i="1"/>
  <c r="AD30" i="1"/>
</calcChain>
</file>

<file path=xl/sharedStrings.xml><?xml version="1.0" encoding="utf-8"?>
<sst xmlns="http://schemas.openxmlformats.org/spreadsheetml/2006/main" count="231" uniqueCount="79">
  <si>
    <t>January</t>
  </si>
  <si>
    <t>February</t>
  </si>
  <si>
    <t>March</t>
  </si>
  <si>
    <t>April</t>
  </si>
  <si>
    <t>May</t>
  </si>
  <si>
    <t>June</t>
  </si>
  <si>
    <t>July</t>
  </si>
  <si>
    <t>September</t>
  </si>
  <si>
    <t>October</t>
  </si>
  <si>
    <t>August</t>
  </si>
  <si>
    <t>November</t>
  </si>
  <si>
    <t>December</t>
  </si>
  <si>
    <t>Su</t>
  </si>
  <si>
    <t>Mo</t>
  </si>
  <si>
    <t>Tu</t>
  </si>
  <si>
    <t>We</t>
  </si>
  <si>
    <t>Th</t>
  </si>
  <si>
    <t>Fr</t>
  </si>
  <si>
    <t>Sa</t>
  </si>
  <si>
    <t>Governing Board of Directors</t>
  </si>
  <si>
    <t>Executive Committee</t>
  </si>
  <si>
    <t>Committee Function</t>
  </si>
  <si>
    <t>Meeting Cadence</t>
  </si>
  <si>
    <t xml:space="preserve">Tim Rusch </t>
  </si>
  <si>
    <t>Dr. Aaron Schwaab</t>
  </si>
  <si>
    <t>Dr. Ashish Rawal</t>
  </si>
  <si>
    <t>Sue Vanderbilt</t>
  </si>
  <si>
    <t>Kris Krentz</t>
  </si>
  <si>
    <t>Glenn Kruser</t>
  </si>
  <si>
    <t>Nick Probst</t>
  </si>
  <si>
    <t>Chair</t>
  </si>
  <si>
    <t>Vice Chair</t>
  </si>
  <si>
    <t>Matt Kinsella</t>
  </si>
  <si>
    <t>Sec/Treas</t>
  </si>
  <si>
    <t>SSM Rep</t>
  </si>
  <si>
    <t>SSM Alt</t>
  </si>
  <si>
    <t>Director</t>
  </si>
  <si>
    <t>Overall organizational governance.  Assure adherence to organizations mission, vision, values and organizational purpose as defined in Article 1, Section II of SHA bylaws.</t>
  </si>
  <si>
    <t xml:space="preserve">Michelle Abey </t>
  </si>
  <si>
    <t>Governance Committee</t>
  </si>
  <si>
    <t>Donna Olson</t>
  </si>
  <si>
    <t>Finance Committee</t>
  </si>
  <si>
    <t>Audit Compliance/Risk Management Committee</t>
  </si>
  <si>
    <t>Establish and maintain internal systems, controls and procedures to safeguard the corporation’s assets, ensure compliance, avoid fraud and accurately report financial information.  Serve as the liaison, and ensure adequate communication between the Board of Directors, management and internal and external auditors.  Select and determine the compensation of external auditor.
* Directors may not service on Finance and Audit Committees simultaneously.  
* 100% independent directors per IRS 990 definition.</t>
  </si>
  <si>
    <t>Quality Committee</t>
  </si>
  <si>
    <t>Oversee continuous improvement of quality, safety and patient experience activities for corporation.  Assure implementation of corrective action plans linked to regulatory survey results and sentinel root cause analysis (RCA) events.</t>
  </si>
  <si>
    <t>CEO Evaluation/Compensation Committee</t>
  </si>
  <si>
    <t>Tim Rusch</t>
  </si>
  <si>
    <t>LEGEND:</t>
  </si>
  <si>
    <t xml:space="preserve">Nominate officers of the Board of Directors for approval at Annual Reorganizational meeting of Board of Directors.  Oversee Board orientation, education, self-evaluations and goal setting.
* Formally oversees nominations, bylaws, and Board self-assessment. </t>
  </si>
  <si>
    <t>CEO Eval./Comp. Committee</t>
  </si>
  <si>
    <t>Audit Compliance/Risk Mgmt.</t>
  </si>
  <si>
    <t>Board of Directors</t>
  </si>
  <si>
    <t>Governing Board and Committee Meetings</t>
  </si>
  <si>
    <t>Maintain general financial oversight of hospital finances, including corporation’s budget, and report to the Board.  Examine monthly financial reports and supervise the management of hospital funds.  Have the general responsibility to make recommendations to the Board of Directors concerning the purchase of additional property, replacement thereof as well as repair and maintenance of said property and equipment; review all prospective purchases of equipment which exceed a value established by resolution of the Board of Directors. 
* Must be Secretary/Treasurer
* Directors may not serve on Finance and Audit Committees simultaneously.</t>
  </si>
  <si>
    <t>2023 Board Committees</t>
  </si>
  <si>
    <t xml:space="preserve">Governing Board Liaison to Foundation Board </t>
  </si>
  <si>
    <t>Dawit Tesfasilassie</t>
  </si>
  <si>
    <t xml:space="preserve">Kyle Nondorf </t>
  </si>
  <si>
    <t xml:space="preserve">Matt Kinsella </t>
  </si>
  <si>
    <t>Annually in second quarter</t>
  </si>
  <si>
    <t>4th Wednesday of every other month in BHEC-A: 7:15 a.m. - 8:15 a.m.
* December meeting is on 3rd Wednesday due to Christmas</t>
  </si>
  <si>
    <t>Steve Peotter</t>
  </si>
  <si>
    <t>Cindy McGlynn</t>
  </si>
  <si>
    <r>
      <t xml:space="preserve">Power to transact all regular business of  hospital during period between Board meetings and is subject to any prior limitation imposed by Board of Directors.  No action may be taken by  Executive Committee if such action would require either supermajority or Special Member approval under Article V, Section 8 (B) and (C), if taken by Board. The Executive Committee is accountable for strategic planning in relation to long-term health care needs of the communities served.
</t>
    </r>
    <r>
      <rPr>
        <i/>
        <sz val="11"/>
        <rFont val="Calibri"/>
        <family val="2"/>
        <scheme val="minor"/>
      </rPr>
      <t>*SSM Rep can be either Matt Kinsella or Dawit Tesfasilassie</t>
    </r>
  </si>
  <si>
    <r>
      <t xml:space="preserve">Perform annual CEO evaluation, review and approve CEO compensation, and discuss and set CEO goals and objectives. 
* Different directors on Executive Compensation than Finance Committee. 
* 100% independent directors per IRS 990 definition.
</t>
    </r>
    <r>
      <rPr>
        <i/>
        <sz val="11"/>
        <rFont val="Calibri"/>
        <family val="2"/>
        <scheme val="minor"/>
      </rPr>
      <t>*SSM Rep can be either Matt Kinsella or Dawit Tesfasilassie</t>
    </r>
  </si>
  <si>
    <t>2025 Board Committees</t>
  </si>
  <si>
    <t>Chris Brabant</t>
  </si>
  <si>
    <r>
      <rPr>
        <b/>
        <i/>
        <sz val="11"/>
        <rFont val="Calibri"/>
        <family val="2"/>
        <scheme val="minor"/>
      </rPr>
      <t>Note:</t>
    </r>
    <r>
      <rPr>
        <i/>
        <sz val="11"/>
        <rFont val="Calibri"/>
        <family val="2"/>
        <scheme val="minor"/>
      </rPr>
      <t xml:space="preserve"> All Governing Board members are invited to attend Executive Committee, Governance Committee, Finance Committee, Quality Committee, and Audit Compliance/Risk Management meetings.</t>
    </r>
  </si>
  <si>
    <t>Ex Officio</t>
  </si>
  <si>
    <t>*Revised 1/02/2025</t>
  </si>
  <si>
    <t>Revised 1/02/2025</t>
  </si>
  <si>
    <t>3rd Friday of the month and as needed basis:
7:15 a.m. - 8:30 a.m.
February - Initial Financing Discussion 
April - Investment Review
Aug - Budget Review
Nov - Investment Review</t>
  </si>
  <si>
    <t>3rd Friday in February, April, August and November (8:30 a.m. - 9:30 a.m., immediately following Finance Committee):
*Feb - Review Auditor RFP Process
*Apr - Selection of Auditor
* Aug - 403b Audit Acceptance (if applicable)
* Nov (3rd Friday) - Fiscal Year Financial Audit Review and Acceptance</t>
  </si>
  <si>
    <t>Quarterly on 3rd Thursday:
7:15 a.m. - 8:15 a.m.
Jan - Board Orientation/Conflict of Interest/Following Year Meetings
Apr - By-Laws Review &amp; Update
Jul - Board Self-Evaluation/Nominations
Oct - Nominations</t>
  </si>
  <si>
    <t>Monthly on the 4th Tuesday (November meeting moved to December 2nd due to Thanksgiving and December meeting on 3rd Tuesday due to Christmas Eve).  No January meeting.
9:00 a.m. - 12:00 p.m.</t>
  </si>
  <si>
    <t>Annual Meeting @ 5 p.m.</t>
  </si>
  <si>
    <t>4th Wednesday of every other month in BHEC-B: 7:15 a.m. - 9:00 a.m.
*September meeting will be on 1st Thursday from 2:30 p.m.to 4:15 p.m. at the Board Retreat
**November meeting will be on 4th Monday due to Thanksgiving.  Annual meeting will be that evening at 5:00 p.m.</t>
  </si>
  <si>
    <t>Co-Chair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</si>
</sst>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numFmts>
  <fonts count="17" x14ac:knownFonts="1">
    <font>
      <sz val="11"/>
      <name val="Calibri"/>
      <family val="2"/>
      <scheme val="minor"/>
    </font>
    <font>
      <sz val="8"/>
      <name val="Arial"/>
      <family val="2"/>
    </font>
    <font>
      <sz val="11"/>
      <name val="Calibri"/>
      <family val="2"/>
      <scheme val="minor"/>
    </font>
    <font>
      <b/>
      <sz val="20"/>
      <name val="Cambria"/>
      <family val="2"/>
      <scheme val="major"/>
    </font>
    <font>
      <b/>
      <sz val="11"/>
      <name val="Calibri"/>
      <family val="2"/>
      <scheme val="minor"/>
    </font>
    <font>
      <b/>
      <sz val="13"/>
      <name val="Calibri"/>
      <family val="2"/>
      <scheme val="minor"/>
    </font>
    <font>
      <b/>
      <sz val="11"/>
      <color theme="0"/>
      <name val="Calibri"/>
      <family val="2"/>
      <scheme val="minor"/>
    </font>
    <font>
      <sz val="12"/>
      <name val="Calibri"/>
      <family val="2"/>
      <scheme val="minor"/>
    </font>
    <font>
      <sz val="20"/>
      <name val="Calibri"/>
      <family val="2"/>
      <scheme val="minor"/>
    </font>
    <font>
      <b/>
      <sz val="20"/>
      <name val="Calibri"/>
      <family val="2"/>
      <scheme val="minor"/>
    </font>
    <font>
      <sz val="10"/>
      <name val="Calibri"/>
      <family val="2"/>
      <scheme val="minor"/>
    </font>
    <font>
      <sz val="9"/>
      <name val="Calibri"/>
      <family val="2"/>
      <scheme val="minor"/>
    </font>
    <font>
      <i/>
      <sz val="11"/>
      <name val="Calibri"/>
      <family val="2"/>
      <scheme val="minor"/>
    </font>
    <font>
      <b/>
      <i/>
      <sz val="11"/>
      <name val="Calibri"/>
      <family val="2"/>
      <scheme val="minor"/>
    </font>
    <font>
      <sz val="11"/>
      <color theme="0"/>
      <name val="Calibri"/>
      <family val="2"/>
      <scheme val="minor"/>
    </font>
    <font>
      <sz val="11"/>
      <color rgb="FFFF0000"/>
      <name val="Calibri"/>
      <family val="2"/>
      <scheme val="minor"/>
    </font>
    <font>
      <b/>
      <sz val="11"/>
      <color rgb="FFFF0000"/>
      <name val="Calibri"/>
      <family val="2"/>
      <scheme val="minor"/>
    </font>
  </fonts>
  <fills count="28">
    <fill>
      <patternFill patternType="none"/>
    </fill>
    <fill>
      <patternFill patternType="gray125"/>
    </fill>
    <fill>
      <patternFill patternType="solid">
        <fgColor theme="9" tint="0.59996337778862885"/>
        <bgColor indexed="64"/>
      </patternFill>
    </fill>
    <fill>
      <patternFill patternType="solid">
        <fgColor theme="4" tint="-0.499984740745262"/>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9" tint="-0.499984740745262"/>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C00000"/>
        <bgColor indexed="64"/>
      </patternFill>
    </fill>
    <fill>
      <patternFill patternType="solid">
        <fgColor theme="3"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theme="0"/>
      </right>
      <top style="medium">
        <color indexed="64"/>
      </top>
      <bottom style="medium">
        <color indexed="64"/>
      </bottom>
      <diagonal/>
    </border>
    <border>
      <left style="thin">
        <color theme="0"/>
      </left>
      <right/>
      <top style="medium">
        <color indexed="64"/>
      </top>
      <bottom style="medium">
        <color indexed="64"/>
      </bottom>
      <diagonal/>
    </border>
    <border>
      <left style="thin">
        <color indexed="64"/>
      </left>
      <right/>
      <top/>
      <bottom/>
      <diagonal/>
    </border>
  </borders>
  <cellStyleXfs count="9">
    <xf numFmtId="0" fontId="0" fillId="0" borderId="0"/>
    <xf numFmtId="1" fontId="3" fillId="0" borderId="0">
      <alignment horizontal="center" vertical="center"/>
    </xf>
    <xf numFmtId="0" fontId="4" fillId="2" borderId="1">
      <alignment horizontal="center" vertical="center"/>
    </xf>
    <xf numFmtId="0" fontId="5" fillId="0" borderId="0" applyNumberFormat="0" applyFill="0" applyAlignment="0" applyProtection="0"/>
    <xf numFmtId="0" fontId="4" fillId="0" borderId="0" applyNumberFormat="0" applyFill="0" applyAlignment="0" applyProtection="0"/>
    <xf numFmtId="0" fontId="4" fillId="0" borderId="0" applyNumberFormat="0" applyFill="0" applyBorder="0" applyAlignment="0" applyProtection="0"/>
    <xf numFmtId="0" fontId="2" fillId="0" borderId="1"/>
    <xf numFmtId="164" fontId="2" fillId="0" borderId="0" applyFont="0" applyFill="0" applyBorder="0">
      <alignment horizontal="right"/>
    </xf>
    <xf numFmtId="0" fontId="2" fillId="0" borderId="0" applyFont="0" applyFill="0" applyBorder="0">
      <alignment horizontal="center"/>
    </xf>
  </cellStyleXfs>
  <cellXfs count="328">
    <xf numFmtId="0" fontId="0" fillId="0" borderId="0" xfId="0"/>
    <xf numFmtId="164" fontId="2" fillId="0" borderId="1" xfId="7" applyBorder="1">
      <alignment horizontal="right"/>
    </xf>
    <xf numFmtId="0" fontId="0" fillId="0" borderId="1" xfId="8" applyFont="1" applyBorder="1">
      <alignment horizontal="center"/>
    </xf>
    <xf numFmtId="0" fontId="7" fillId="0" borderId="0" xfId="0" applyFont="1"/>
    <xf numFmtId="0" fontId="8" fillId="0" borderId="0" xfId="0" applyFont="1"/>
    <xf numFmtId="0" fontId="9" fillId="0" borderId="0" xfId="0" applyFont="1" applyAlignment="1">
      <alignment horizontal="center"/>
    </xf>
    <xf numFmtId="0" fontId="0" fillId="0" borderId="0" xfId="0" applyAlignment="1">
      <alignment vertical="top"/>
    </xf>
    <xf numFmtId="164" fontId="2" fillId="4" borderId="1" xfId="7" applyFill="1" applyBorder="1">
      <alignment horizontal="right"/>
    </xf>
    <xf numFmtId="0" fontId="10" fillId="0" borderId="0" xfId="0" applyFont="1"/>
    <xf numFmtId="164" fontId="2" fillId="5" borderId="1" xfId="7" applyFill="1" applyBorder="1">
      <alignment horizontal="right"/>
    </xf>
    <xf numFmtId="0" fontId="11" fillId="4" borderId="1" xfId="0" applyFont="1" applyFill="1" applyBorder="1"/>
    <xf numFmtId="0" fontId="11" fillId="5" borderId="1" xfId="0" applyFont="1" applyFill="1" applyBorder="1"/>
    <xf numFmtId="0" fontId="11" fillId="9" borderId="1" xfId="0" applyFont="1" applyFill="1" applyBorder="1"/>
    <xf numFmtId="0" fontId="11" fillId="18" borderId="1" xfId="0" applyFont="1" applyFill="1" applyBorder="1"/>
    <xf numFmtId="0" fontId="11" fillId="21" borderId="1" xfId="0" applyFont="1" applyFill="1" applyBorder="1"/>
    <xf numFmtId="0" fontId="11" fillId="24" borderId="1" xfId="0" applyFont="1" applyFill="1" applyBorder="1"/>
    <xf numFmtId="0" fontId="11" fillId="25" borderId="1" xfId="0" applyFont="1" applyFill="1" applyBorder="1"/>
    <xf numFmtId="164" fontId="2" fillId="18" borderId="1" xfId="7" applyFill="1" applyBorder="1">
      <alignment horizontal="right"/>
    </xf>
    <xf numFmtId="164" fontId="2" fillId="9" borderId="1" xfId="7" applyFill="1" applyBorder="1">
      <alignment horizontal="right"/>
    </xf>
    <xf numFmtId="164" fontId="2" fillId="24" borderId="1" xfId="7" applyFill="1" applyBorder="1">
      <alignment horizontal="right"/>
    </xf>
    <xf numFmtId="164" fontId="2" fillId="0" borderId="0" xfId="7" applyBorder="1">
      <alignment horizontal="right"/>
    </xf>
    <xf numFmtId="0" fontId="4" fillId="17" borderId="0" xfId="0" applyFont="1" applyFill="1"/>
    <xf numFmtId="0" fontId="6" fillId="8" borderId="9" xfId="0" applyFont="1" applyFill="1" applyBorder="1" applyAlignment="1">
      <alignment vertical="center"/>
    </xf>
    <xf numFmtId="0" fontId="6" fillId="8" borderId="10" xfId="0" applyFont="1" applyFill="1" applyBorder="1" applyAlignment="1">
      <alignment vertical="center"/>
    </xf>
    <xf numFmtId="0" fontId="4" fillId="0" borderId="0" xfId="0" applyFont="1"/>
    <xf numFmtId="0" fontId="0" fillId="17" borderId="0" xfId="0" applyFill="1"/>
    <xf numFmtId="0" fontId="0" fillId="17" borderId="0" xfId="0" applyFill="1" applyAlignment="1">
      <alignment vertical="top"/>
    </xf>
    <xf numFmtId="0" fontId="6" fillId="15" borderId="9" xfId="0" applyFont="1" applyFill="1" applyBorder="1" applyAlignment="1">
      <alignment vertical="center"/>
    </xf>
    <xf numFmtId="0" fontId="6" fillId="15" borderId="10" xfId="0" applyFont="1" applyFill="1" applyBorder="1" applyAlignment="1">
      <alignment vertical="center"/>
    </xf>
    <xf numFmtId="0" fontId="0" fillId="11" borderId="2" xfId="0" applyFill="1" applyBorder="1" applyAlignment="1">
      <alignment vertical="top"/>
    </xf>
    <xf numFmtId="0" fontId="0" fillId="11" borderId="0" xfId="0" applyFill="1" applyAlignment="1">
      <alignment vertical="top"/>
    </xf>
    <xf numFmtId="0" fontId="0" fillId="11" borderId="6" xfId="0" applyFill="1" applyBorder="1" applyAlignment="1">
      <alignment vertical="top"/>
    </xf>
    <xf numFmtId="0" fontId="6" fillId="13" borderId="9" xfId="0" applyFont="1" applyFill="1" applyBorder="1" applyAlignment="1">
      <alignment vertical="center"/>
    </xf>
    <xf numFmtId="0" fontId="6" fillId="13" borderId="10" xfId="0" applyFont="1" applyFill="1" applyBorder="1" applyAlignment="1">
      <alignment vertical="center"/>
    </xf>
    <xf numFmtId="0" fontId="6" fillId="3" borderId="9" xfId="0" applyFont="1" applyFill="1" applyBorder="1" applyAlignment="1">
      <alignment vertical="center"/>
    </xf>
    <xf numFmtId="0" fontId="6" fillId="3" borderId="10" xfId="0" applyFont="1" applyFill="1" applyBorder="1" applyAlignment="1">
      <alignment vertical="center"/>
    </xf>
    <xf numFmtId="0" fontId="0" fillId="20" borderId="3" xfId="0" applyFill="1" applyBorder="1" applyAlignment="1">
      <alignment vertical="top"/>
    </xf>
    <xf numFmtId="0" fontId="0" fillId="20" borderId="4" xfId="0" applyFill="1" applyBorder="1" applyAlignment="1">
      <alignment vertical="top"/>
    </xf>
    <xf numFmtId="0" fontId="0" fillId="20" borderId="5" xfId="0" applyFill="1" applyBorder="1"/>
    <xf numFmtId="0" fontId="0" fillId="20" borderId="6" xfId="0" applyFill="1" applyBorder="1"/>
    <xf numFmtId="0" fontId="0" fillId="20" borderId="7" xfId="0" applyFill="1" applyBorder="1"/>
    <xf numFmtId="0" fontId="0" fillId="0" borderId="0" xfId="0" applyAlignment="1">
      <alignment wrapText="1"/>
    </xf>
    <xf numFmtId="0" fontId="0" fillId="0" borderId="0" xfId="0" applyAlignment="1">
      <alignment horizontal="left"/>
    </xf>
    <xf numFmtId="0" fontId="6" fillId="14" borderId="9" xfId="0" applyFont="1" applyFill="1" applyBorder="1" applyAlignment="1">
      <alignment vertical="center"/>
    </xf>
    <xf numFmtId="0" fontId="6" fillId="14" borderId="10" xfId="0" applyFont="1" applyFill="1" applyBorder="1" applyAlignment="1">
      <alignment vertical="center"/>
    </xf>
    <xf numFmtId="0" fontId="0" fillId="10" borderId="0" xfId="0" applyFill="1" applyAlignment="1">
      <alignment vertical="top"/>
    </xf>
    <xf numFmtId="0" fontId="0" fillId="10" borderId="12" xfId="0" applyFill="1" applyBorder="1"/>
    <xf numFmtId="0" fontId="0" fillId="10" borderId="0" xfId="0" applyFill="1"/>
    <xf numFmtId="0" fontId="0" fillId="10" borderId="5" xfId="0" applyFill="1" applyBorder="1"/>
    <xf numFmtId="0" fontId="0" fillId="10" borderId="6" xfId="0" applyFill="1" applyBorder="1"/>
    <xf numFmtId="0" fontId="6" fillId="23" borderId="9" xfId="0" applyFont="1" applyFill="1" applyBorder="1" applyAlignment="1">
      <alignment vertical="top"/>
    </xf>
    <xf numFmtId="0" fontId="6" fillId="23" borderId="9" xfId="0" applyFont="1" applyFill="1" applyBorder="1" applyAlignment="1">
      <alignment vertical="center"/>
    </xf>
    <xf numFmtId="0" fontId="6" fillId="23" borderId="10" xfId="0" applyFont="1" applyFill="1" applyBorder="1" applyAlignment="1">
      <alignment vertical="center"/>
    </xf>
    <xf numFmtId="0" fontId="0" fillId="22" borderId="2" xfId="0" applyFill="1" applyBorder="1" applyAlignment="1">
      <alignment vertical="top"/>
    </xf>
    <xf numFmtId="0" fontId="0" fillId="22" borderId="0" xfId="0" applyFill="1" applyAlignment="1">
      <alignment vertical="top"/>
    </xf>
    <xf numFmtId="0" fontId="0" fillId="22" borderId="6" xfId="0" applyFill="1" applyBorder="1" applyAlignment="1">
      <alignment vertical="top"/>
    </xf>
    <xf numFmtId="0" fontId="6" fillId="16" borderId="9" xfId="0" applyFont="1" applyFill="1" applyBorder="1" applyAlignment="1">
      <alignment vertical="center"/>
    </xf>
    <xf numFmtId="0" fontId="6" fillId="16" borderId="10" xfId="0" applyFont="1" applyFill="1" applyBorder="1" applyAlignment="1">
      <alignment vertical="center"/>
    </xf>
    <xf numFmtId="0" fontId="0" fillId="7" borderId="6" xfId="0" applyFill="1" applyBorder="1" applyAlignment="1">
      <alignment vertical="top"/>
    </xf>
    <xf numFmtId="0" fontId="0" fillId="7" borderId="3" xfId="0" applyFill="1" applyBorder="1" applyAlignment="1">
      <alignment vertical="top"/>
    </xf>
    <xf numFmtId="0" fontId="0" fillId="7" borderId="4" xfId="0" applyFill="1" applyBorder="1" applyAlignment="1">
      <alignment vertical="top"/>
    </xf>
    <xf numFmtId="0" fontId="0" fillId="7" borderId="5" xfId="0" applyFill="1" applyBorder="1" applyAlignment="1">
      <alignment horizontal="left" vertical="top"/>
    </xf>
    <xf numFmtId="0" fontId="0" fillId="7" borderId="7" xfId="0" applyFill="1" applyBorder="1" applyAlignment="1">
      <alignment vertical="top"/>
    </xf>
    <xf numFmtId="0" fontId="0" fillId="19" borderId="3" xfId="0" applyFill="1" applyBorder="1" applyAlignment="1">
      <alignment vertical="top"/>
    </xf>
    <xf numFmtId="0" fontId="0" fillId="19" borderId="4" xfId="0" applyFill="1" applyBorder="1" applyAlignment="1">
      <alignment vertical="top"/>
    </xf>
    <xf numFmtId="0" fontId="0" fillId="19" borderId="7" xfId="0" applyFill="1" applyBorder="1" applyAlignment="1">
      <alignment vertical="top"/>
    </xf>
    <xf numFmtId="0" fontId="0" fillId="10" borderId="4" xfId="0" applyFill="1" applyBorder="1"/>
    <xf numFmtId="0" fontId="0" fillId="10" borderId="7" xfId="0" applyFill="1" applyBorder="1"/>
    <xf numFmtId="0" fontId="6" fillId="14" borderId="13" xfId="0" applyFont="1" applyFill="1" applyBorder="1" applyAlignment="1">
      <alignment vertical="top"/>
    </xf>
    <xf numFmtId="0" fontId="6" fillId="14" borderId="14" xfId="0" applyFont="1" applyFill="1" applyBorder="1" applyAlignment="1">
      <alignment vertical="center"/>
    </xf>
    <xf numFmtId="0" fontId="6" fillId="23" borderId="14" xfId="0" applyFont="1" applyFill="1" applyBorder="1" applyAlignment="1">
      <alignment vertical="center"/>
    </xf>
    <xf numFmtId="0" fontId="6" fillId="16" borderId="14" xfId="0" applyFont="1" applyFill="1" applyBorder="1" applyAlignment="1">
      <alignment vertical="center"/>
    </xf>
    <xf numFmtId="0" fontId="6" fillId="13" borderId="14" xfId="0" applyFont="1" applyFill="1" applyBorder="1" applyAlignment="1">
      <alignment vertical="center"/>
    </xf>
    <xf numFmtId="0" fontId="6" fillId="15" borderId="14" xfId="0" applyFont="1" applyFill="1" applyBorder="1" applyAlignment="1">
      <alignment vertical="center"/>
    </xf>
    <xf numFmtId="0" fontId="0" fillId="0" borderId="15" xfId="0" applyBorder="1"/>
    <xf numFmtId="164" fontId="2" fillId="17" borderId="1" xfId="7" applyFill="1" applyBorder="1">
      <alignment horizontal="right"/>
    </xf>
    <xf numFmtId="164" fontId="2" fillId="0" borderId="1" xfId="7" applyFill="1" applyBorder="1">
      <alignment horizontal="right"/>
    </xf>
    <xf numFmtId="164" fontId="2" fillId="25" borderId="1" xfId="7" applyFill="1" applyBorder="1">
      <alignment horizontal="right"/>
    </xf>
    <xf numFmtId="0" fontId="0" fillId="0" borderId="0" xfId="8" applyFont="1" applyFill="1" applyBorder="1" applyAlignment="1">
      <alignment horizontal="left"/>
    </xf>
    <xf numFmtId="0" fontId="0" fillId="19" borderId="12" xfId="0" applyFill="1" applyBorder="1" applyAlignment="1">
      <alignment horizontal="left" vertical="top"/>
    </xf>
    <xf numFmtId="0" fontId="0" fillId="19" borderId="0" xfId="0" applyFill="1" applyAlignment="1">
      <alignment vertical="top"/>
    </xf>
    <xf numFmtId="0" fontId="0" fillId="11" borderId="0" xfId="0" applyFill="1" applyAlignment="1">
      <alignment horizontal="left" vertical="top"/>
    </xf>
    <xf numFmtId="0" fontId="4" fillId="7" borderId="12" xfId="0" applyFont="1" applyFill="1" applyBorder="1" applyAlignment="1">
      <alignment horizontal="left" vertical="top"/>
    </xf>
    <xf numFmtId="0" fontId="0" fillId="7" borderId="0" xfId="0" applyFill="1" applyAlignment="1">
      <alignment horizontal="left" vertical="top"/>
    </xf>
    <xf numFmtId="0" fontId="0" fillId="7" borderId="12" xfId="0" applyFill="1" applyBorder="1" applyAlignment="1">
      <alignment horizontal="left" vertical="top"/>
    </xf>
    <xf numFmtId="0" fontId="0" fillId="7" borderId="0" xfId="0" applyFill="1" applyAlignment="1">
      <alignment vertical="top"/>
    </xf>
    <xf numFmtId="0" fontId="6" fillId="16" borderId="2" xfId="0" applyFont="1" applyFill="1" applyBorder="1" applyAlignment="1">
      <alignment vertical="top"/>
    </xf>
    <xf numFmtId="0" fontId="0" fillId="7" borderId="4" xfId="0" applyFill="1" applyBorder="1" applyAlignment="1">
      <alignment horizontal="left" vertical="top"/>
    </xf>
    <xf numFmtId="0" fontId="11" fillId="0" borderId="0" xfId="0" applyFont="1"/>
    <xf numFmtId="0" fontId="4" fillId="0" borderId="0" xfId="0" applyFont="1" applyAlignment="1">
      <alignment horizontal="left" vertical="top"/>
    </xf>
    <xf numFmtId="0" fontId="0" fillId="0" borderId="0" xfId="0" applyAlignment="1">
      <alignment horizontal="left" vertical="top"/>
    </xf>
    <xf numFmtId="0" fontId="0" fillId="0" borderId="0" xfId="0" applyAlignment="1">
      <alignment horizontal="left" wrapText="1"/>
    </xf>
    <xf numFmtId="0" fontId="15" fillId="0" borderId="0" xfId="0" applyFont="1"/>
    <xf numFmtId="164" fontId="2" fillId="26" borderId="1" xfId="7" applyFill="1" applyBorder="1">
      <alignment horizontal="right"/>
    </xf>
    <xf numFmtId="0" fontId="11" fillId="26" borderId="1" xfId="0" applyFont="1" applyFill="1" applyBorder="1"/>
    <xf numFmtId="0" fontId="4" fillId="6" borderId="12" xfId="0" applyFont="1" applyFill="1" applyBorder="1" applyAlignment="1">
      <alignment horizontal="left" vertical="top"/>
    </xf>
    <xf numFmtId="0" fontId="0" fillId="6" borderId="4" xfId="0" applyFill="1" applyBorder="1" applyAlignment="1">
      <alignment horizontal="left" vertical="top"/>
    </xf>
    <xf numFmtId="0" fontId="4" fillId="22" borderId="12" xfId="0" applyFont="1" applyFill="1" applyBorder="1" applyAlignment="1">
      <alignment horizontal="left" vertical="top"/>
    </xf>
    <xf numFmtId="0" fontId="0" fillId="22" borderId="0" xfId="0" applyFill="1" applyAlignment="1">
      <alignment horizontal="left" vertical="top"/>
    </xf>
    <xf numFmtId="0" fontId="0" fillId="22" borderId="4" xfId="0" applyFill="1" applyBorder="1" applyAlignment="1">
      <alignment horizontal="left" vertical="top"/>
    </xf>
    <xf numFmtId="0" fontId="0" fillId="6" borderId="12" xfId="0" applyFill="1" applyBorder="1" applyAlignment="1">
      <alignment horizontal="left" vertical="top"/>
    </xf>
    <xf numFmtId="0" fontId="0" fillId="6" borderId="0" xfId="0" applyFill="1" applyAlignment="1">
      <alignment vertical="top"/>
    </xf>
    <xf numFmtId="0" fontId="0" fillId="6" borderId="0" xfId="0" applyFill="1" applyAlignment="1">
      <alignment horizontal="left" vertical="top"/>
    </xf>
    <xf numFmtId="0" fontId="0" fillId="6" borderId="3" xfId="0" applyFill="1" applyBorder="1" applyAlignment="1">
      <alignment vertical="top"/>
    </xf>
    <xf numFmtId="0" fontId="0" fillId="6" borderId="4" xfId="0" applyFill="1" applyBorder="1" applyAlignment="1">
      <alignment vertical="top"/>
    </xf>
    <xf numFmtId="0" fontId="0" fillId="6" borderId="7" xfId="0" applyFill="1" applyBorder="1" applyAlignment="1">
      <alignment vertical="top"/>
    </xf>
    <xf numFmtId="164" fontId="2" fillId="27" borderId="1" xfId="7" applyFill="1" applyBorder="1">
      <alignment horizontal="right"/>
    </xf>
    <xf numFmtId="0" fontId="0" fillId="22" borderId="9" xfId="0" applyFill="1" applyBorder="1" applyAlignment="1">
      <alignment vertical="top"/>
    </xf>
    <xf numFmtId="0" fontId="16" fillId="0" borderId="0" xfId="0" applyFont="1"/>
    <xf numFmtId="0" fontId="4" fillId="22" borderId="8" xfId="0" applyFont="1" applyFill="1" applyBorder="1" applyAlignment="1">
      <alignment horizontal="left" vertical="top"/>
    </xf>
    <xf numFmtId="0" fontId="0" fillId="22" borderId="9" xfId="0" applyFill="1" applyBorder="1" applyAlignment="1">
      <alignment horizontal="left" vertical="top"/>
    </xf>
    <xf numFmtId="0" fontId="0" fillId="22" borderId="10" xfId="0" applyFill="1" applyBorder="1" applyAlignment="1">
      <alignment horizontal="left" vertical="top"/>
    </xf>
    <xf numFmtId="0" fontId="0" fillId="22" borderId="9" xfId="0" applyFill="1" applyBorder="1" applyAlignment="1">
      <alignment vertical="top"/>
    </xf>
    <xf numFmtId="0" fontId="0" fillId="22" borderId="8" xfId="0" applyFill="1" applyBorder="1" applyAlignment="1">
      <alignment vertical="top" wrapText="1"/>
    </xf>
    <xf numFmtId="0" fontId="0" fillId="22" borderId="9" xfId="0" applyFill="1" applyBorder="1" applyAlignment="1">
      <alignment vertical="top" wrapText="1"/>
    </xf>
    <xf numFmtId="0" fontId="0" fillId="0" borderId="9" xfId="0" applyBorder="1"/>
    <xf numFmtId="0" fontId="0" fillId="0" borderId="10" xfId="0" applyBorder="1"/>
    <xf numFmtId="0" fontId="0" fillId="22" borderId="8" xfId="0" applyFill="1" applyBorder="1" applyAlignment="1">
      <alignment horizontal="left" vertical="top" wrapText="1"/>
    </xf>
    <xf numFmtId="0" fontId="0" fillId="22" borderId="9" xfId="0" applyFill="1" applyBorder="1" applyAlignment="1">
      <alignment horizontal="left" vertical="top" wrapText="1"/>
    </xf>
    <xf numFmtId="0" fontId="0" fillId="22" borderId="10" xfId="0" applyFill="1" applyBorder="1" applyAlignment="1">
      <alignment horizontal="left" vertical="top" wrapText="1"/>
    </xf>
    <xf numFmtId="0" fontId="6" fillId="23" borderId="8" xfId="0" applyFont="1" applyFill="1" applyBorder="1" applyAlignment="1">
      <alignment vertical="center" wrapText="1"/>
    </xf>
    <xf numFmtId="0" fontId="14" fillId="23" borderId="9" xfId="0" applyFont="1" applyFill="1" applyBorder="1" applyAlignment="1">
      <alignment vertical="center" wrapText="1"/>
    </xf>
    <xf numFmtId="0" fontId="6" fillId="15" borderId="14" xfId="0" applyFont="1" applyFill="1" applyBorder="1" applyAlignment="1">
      <alignment vertical="center"/>
    </xf>
    <xf numFmtId="0" fontId="0" fillId="10" borderId="0" xfId="0" applyFill="1" applyAlignment="1">
      <alignment horizontal="left" vertical="top" wrapText="1"/>
    </xf>
    <xf numFmtId="0" fontId="0" fillId="10" borderId="0" xfId="0" applyFill="1" applyAlignment="1">
      <alignment horizontal="left" wrapText="1"/>
    </xf>
    <xf numFmtId="0" fontId="0" fillId="10" borderId="4" xfId="0" applyFill="1" applyBorder="1" applyAlignment="1">
      <alignment horizontal="left" wrapText="1"/>
    </xf>
    <xf numFmtId="0" fontId="0" fillId="0" borderId="0" xfId="0" applyAlignment="1">
      <alignment horizontal="left"/>
    </xf>
    <xf numFmtId="0" fontId="0" fillId="0" borderId="4"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22" borderId="2" xfId="0" applyFill="1" applyBorder="1" applyAlignment="1">
      <alignment horizontal="left" vertical="top" wrapText="1"/>
    </xf>
    <xf numFmtId="0" fontId="0" fillId="22" borderId="2" xfId="0" applyFill="1" applyBorder="1" applyAlignment="1">
      <alignment horizontal="left" wrapText="1"/>
    </xf>
    <xf numFmtId="0" fontId="0" fillId="22" borderId="3" xfId="0" applyFill="1" applyBorder="1" applyAlignment="1">
      <alignment horizontal="left" wrapText="1"/>
    </xf>
    <xf numFmtId="0" fontId="0" fillId="22" borderId="0" xfId="0" applyFill="1" applyAlignment="1">
      <alignment horizontal="left" wrapText="1"/>
    </xf>
    <xf numFmtId="0" fontId="0" fillId="22" borderId="4" xfId="0" applyFill="1" applyBorder="1" applyAlignment="1">
      <alignment horizontal="left" wrapText="1"/>
    </xf>
    <xf numFmtId="0" fontId="0" fillId="22" borderId="6" xfId="0" applyFill="1" applyBorder="1" applyAlignment="1">
      <alignment horizontal="left" wrapText="1"/>
    </xf>
    <xf numFmtId="0" fontId="0" fillId="22" borderId="7" xfId="0" applyFill="1" applyBorder="1" applyAlignment="1">
      <alignment horizontal="left" wrapText="1"/>
    </xf>
    <xf numFmtId="0" fontId="0" fillId="7" borderId="2" xfId="0" applyFill="1" applyBorder="1" applyAlignment="1">
      <alignment horizontal="left" vertical="top" wrapText="1"/>
    </xf>
    <xf numFmtId="0" fontId="0" fillId="7" borderId="2" xfId="0" applyFill="1" applyBorder="1" applyAlignment="1">
      <alignment horizontal="left" wrapText="1"/>
    </xf>
    <xf numFmtId="0" fontId="0" fillId="7" borderId="3" xfId="0" applyFill="1" applyBorder="1" applyAlignment="1">
      <alignment horizontal="left" wrapText="1"/>
    </xf>
    <xf numFmtId="0" fontId="0" fillId="7" borderId="0" xfId="0" applyFill="1" applyAlignment="1">
      <alignment horizontal="left" wrapText="1"/>
    </xf>
    <xf numFmtId="0" fontId="0" fillId="7" borderId="4" xfId="0" applyFill="1" applyBorder="1" applyAlignment="1">
      <alignment horizontal="left" wrapText="1"/>
    </xf>
    <xf numFmtId="0" fontId="0" fillId="7" borderId="6" xfId="0" applyFill="1" applyBorder="1" applyAlignment="1">
      <alignment horizontal="left" wrapText="1"/>
    </xf>
    <xf numFmtId="0" fontId="0" fillId="7" borderId="7" xfId="0" applyFill="1" applyBorder="1" applyAlignment="1">
      <alignment horizontal="left" wrapText="1"/>
    </xf>
    <xf numFmtId="0" fontId="6" fillId="14" borderId="9" xfId="0" applyFont="1" applyFill="1" applyBorder="1" applyAlignment="1">
      <alignment vertical="center"/>
    </xf>
    <xf numFmtId="0" fontId="0" fillId="10" borderId="12" xfId="0" applyFill="1" applyBorder="1" applyAlignment="1">
      <alignment vertical="top" wrapText="1"/>
    </xf>
    <xf numFmtId="0" fontId="0" fillId="10" borderId="0" xfId="0" applyFill="1" applyAlignment="1">
      <alignment vertical="top" wrapText="1"/>
    </xf>
    <xf numFmtId="0" fontId="0" fillId="0" borderId="0" xfId="0"/>
    <xf numFmtId="0" fontId="0" fillId="0" borderId="4" xfId="0" applyBorder="1"/>
    <xf numFmtId="0" fontId="0" fillId="0" borderId="12" xfId="0" applyBorder="1" applyAlignment="1">
      <alignment wrapText="1"/>
    </xf>
    <xf numFmtId="0" fontId="0" fillId="0" borderId="0" xfId="0" applyAlignment="1">
      <alignment wrapText="1"/>
    </xf>
    <xf numFmtId="0" fontId="0" fillId="0" borderId="5" xfId="0" applyBorder="1" applyAlignment="1">
      <alignment wrapText="1"/>
    </xf>
    <xf numFmtId="0" fontId="0" fillId="0" borderId="6" xfId="0" applyBorder="1" applyAlignment="1">
      <alignment wrapText="1"/>
    </xf>
    <xf numFmtId="0" fontId="0" fillId="0" borderId="6" xfId="0" applyBorder="1"/>
    <xf numFmtId="0" fontId="0" fillId="0" borderId="7" xfId="0" applyBorder="1"/>
    <xf numFmtId="0" fontId="0" fillId="22" borderId="11" xfId="0" applyFill="1" applyBorder="1" applyAlignment="1">
      <alignment vertical="top" wrapText="1"/>
    </xf>
    <xf numFmtId="0" fontId="0" fillId="22" borderId="2" xfId="0" applyFill="1" applyBorder="1" applyAlignment="1">
      <alignment vertical="top" wrapText="1"/>
    </xf>
    <xf numFmtId="0" fontId="0" fillId="0" borderId="2" xfId="0" applyBorder="1"/>
    <xf numFmtId="0" fontId="0" fillId="0" borderId="3" xfId="0" applyBorder="1"/>
    <xf numFmtId="0" fontId="0" fillId="22" borderId="12" xfId="0" applyFill="1" applyBorder="1" applyAlignment="1">
      <alignment vertical="top" wrapText="1"/>
    </xf>
    <xf numFmtId="0" fontId="0" fillId="22" borderId="0" xfId="0" applyFill="1" applyAlignment="1">
      <alignment vertical="top" wrapText="1"/>
    </xf>
    <xf numFmtId="0" fontId="0" fillId="22" borderId="5" xfId="0" applyFill="1" applyBorder="1" applyAlignment="1">
      <alignment vertical="top" wrapText="1"/>
    </xf>
    <xf numFmtId="0" fontId="0" fillId="22" borderId="6" xfId="0" applyFill="1" applyBorder="1" applyAlignment="1">
      <alignment vertical="top" wrapText="1"/>
    </xf>
    <xf numFmtId="0" fontId="0" fillId="7" borderId="2" xfId="0" applyFill="1" applyBorder="1" applyAlignment="1">
      <alignment vertical="top" wrapText="1"/>
    </xf>
    <xf numFmtId="0" fontId="0" fillId="7" borderId="0" xfId="0" applyFill="1" applyAlignment="1">
      <alignment vertical="top" wrapText="1"/>
    </xf>
    <xf numFmtId="0" fontId="0" fillId="7" borderId="6" xfId="0" applyFill="1" applyBorder="1" applyAlignment="1">
      <alignment vertical="top" wrapText="1"/>
    </xf>
    <xf numFmtId="0" fontId="6" fillId="16" borderId="14" xfId="0" applyFont="1" applyFill="1" applyBorder="1" applyAlignment="1">
      <alignment vertical="center"/>
    </xf>
    <xf numFmtId="0" fontId="0" fillId="0" borderId="13" xfId="0" applyBorder="1"/>
    <xf numFmtId="0" fontId="6" fillId="23" borderId="14" xfId="0" applyFont="1" applyFill="1" applyBorder="1" applyAlignment="1">
      <alignment vertical="center"/>
    </xf>
    <xf numFmtId="0" fontId="6" fillId="3" borderId="14" xfId="0" applyFont="1" applyFill="1" applyBorder="1" applyAlignment="1">
      <alignment vertical="center"/>
    </xf>
    <xf numFmtId="0" fontId="0" fillId="11" borderId="2" xfId="0" applyFill="1" applyBorder="1" applyAlignment="1">
      <alignment horizontal="left" vertical="top" wrapText="1"/>
    </xf>
    <xf numFmtId="0" fontId="0" fillId="11" borderId="2" xfId="0" applyFill="1" applyBorder="1" applyAlignment="1">
      <alignment horizontal="left" wrapText="1"/>
    </xf>
    <xf numFmtId="0" fontId="0" fillId="11" borderId="3" xfId="0" applyFill="1" applyBorder="1" applyAlignment="1">
      <alignment horizontal="left" wrapText="1"/>
    </xf>
    <xf numFmtId="0" fontId="0" fillId="11" borderId="0" xfId="0" applyFill="1" applyAlignment="1">
      <alignment horizontal="left" wrapText="1"/>
    </xf>
    <xf numFmtId="0" fontId="0" fillId="11" borderId="4" xfId="0" applyFill="1" applyBorder="1" applyAlignment="1">
      <alignment horizontal="left" wrapText="1"/>
    </xf>
    <xf numFmtId="0" fontId="0" fillId="11" borderId="6" xfId="0" applyFill="1" applyBorder="1" applyAlignment="1">
      <alignment horizontal="left" wrapText="1"/>
    </xf>
    <xf numFmtId="0" fontId="0" fillId="11" borderId="7" xfId="0" applyFill="1" applyBorder="1" applyAlignment="1">
      <alignment horizontal="left" wrapText="1"/>
    </xf>
    <xf numFmtId="0" fontId="0" fillId="19" borderId="2" xfId="0" applyFill="1" applyBorder="1" applyAlignment="1">
      <alignment horizontal="left" vertical="top" wrapText="1"/>
    </xf>
    <xf numFmtId="0" fontId="0" fillId="19" borderId="2" xfId="0" applyFill="1" applyBorder="1" applyAlignment="1">
      <alignment horizontal="left" wrapText="1"/>
    </xf>
    <xf numFmtId="0" fontId="0" fillId="19" borderId="3" xfId="0" applyFill="1" applyBorder="1" applyAlignment="1">
      <alignment horizontal="left" wrapText="1"/>
    </xf>
    <xf numFmtId="0" fontId="0" fillId="19" borderId="0" xfId="0" applyFill="1" applyAlignment="1">
      <alignment horizontal="left" wrapText="1"/>
    </xf>
    <xf numFmtId="0" fontId="0" fillId="19" borderId="4" xfId="0" applyFill="1" applyBorder="1" applyAlignment="1">
      <alignment horizontal="left" wrapText="1"/>
    </xf>
    <xf numFmtId="0" fontId="0" fillId="19" borderId="6" xfId="0" applyFill="1" applyBorder="1" applyAlignment="1">
      <alignment horizontal="left" wrapText="1"/>
    </xf>
    <xf numFmtId="0" fontId="0" fillId="19" borderId="7" xfId="0" applyFill="1" applyBorder="1" applyAlignment="1">
      <alignment horizontal="left" wrapText="1"/>
    </xf>
    <xf numFmtId="0" fontId="0" fillId="20" borderId="2" xfId="0" applyFill="1" applyBorder="1" applyAlignment="1">
      <alignment horizontal="left" vertical="top" wrapText="1"/>
    </xf>
    <xf numFmtId="0" fontId="0" fillId="20" borderId="2" xfId="0" applyFill="1" applyBorder="1" applyAlignment="1">
      <alignment horizontal="left"/>
    </xf>
    <xf numFmtId="0" fontId="0" fillId="20" borderId="3" xfId="0" applyFill="1" applyBorder="1" applyAlignment="1">
      <alignment horizontal="left"/>
    </xf>
    <xf numFmtId="0" fontId="0" fillId="20" borderId="0" xfId="0" applyFill="1" applyAlignment="1">
      <alignment horizontal="left"/>
    </xf>
    <xf numFmtId="0" fontId="0" fillId="20" borderId="4" xfId="0" applyFill="1" applyBorder="1" applyAlignment="1">
      <alignment horizontal="left"/>
    </xf>
    <xf numFmtId="0" fontId="0" fillId="20" borderId="6" xfId="0" applyFill="1" applyBorder="1" applyAlignment="1">
      <alignment horizontal="left"/>
    </xf>
    <xf numFmtId="0" fontId="0" fillId="20" borderId="7" xfId="0" applyFill="1" applyBorder="1" applyAlignment="1">
      <alignment horizontal="left"/>
    </xf>
    <xf numFmtId="0" fontId="0" fillId="20" borderId="11" xfId="0" applyFill="1" applyBorder="1" applyAlignment="1">
      <alignment vertical="top" wrapText="1"/>
    </xf>
    <xf numFmtId="0" fontId="0" fillId="20" borderId="2" xfId="0" applyFill="1" applyBorder="1" applyAlignment="1">
      <alignment vertical="top" wrapText="1"/>
    </xf>
    <xf numFmtId="0" fontId="0" fillId="20" borderId="12" xfId="0" applyFill="1" applyBorder="1" applyAlignment="1">
      <alignment vertical="top" wrapText="1"/>
    </xf>
    <xf numFmtId="0" fontId="0" fillId="20" borderId="0" xfId="0" applyFill="1" applyAlignment="1">
      <alignment vertical="top" wrapText="1"/>
    </xf>
    <xf numFmtId="0" fontId="0" fillId="20" borderId="5" xfId="0" applyFill="1" applyBorder="1" applyAlignment="1">
      <alignment wrapText="1"/>
    </xf>
    <xf numFmtId="0" fontId="0" fillId="20" borderId="6" xfId="0" applyFill="1" applyBorder="1" applyAlignment="1">
      <alignment wrapText="1"/>
    </xf>
    <xf numFmtId="0" fontId="6" fillId="13" borderId="14" xfId="0" applyFont="1" applyFill="1" applyBorder="1" applyAlignment="1">
      <alignment vertical="center"/>
    </xf>
    <xf numFmtId="0" fontId="0" fillId="19" borderId="11" xfId="0" applyFill="1" applyBorder="1" applyAlignment="1">
      <alignment vertical="top" wrapText="1"/>
    </xf>
    <xf numFmtId="0" fontId="0" fillId="19" borderId="2" xfId="0" applyFill="1" applyBorder="1" applyAlignment="1">
      <alignment vertical="top" wrapText="1"/>
    </xf>
    <xf numFmtId="0" fontId="0" fillId="19" borderId="12" xfId="0" applyFill="1" applyBorder="1" applyAlignment="1">
      <alignment vertical="top"/>
    </xf>
    <xf numFmtId="0" fontId="0" fillId="19" borderId="0" xfId="0" applyFill="1" applyAlignment="1">
      <alignment vertical="top"/>
    </xf>
    <xf numFmtId="0" fontId="0" fillId="19" borderId="5" xfId="0" applyFill="1" applyBorder="1" applyAlignment="1">
      <alignment vertical="top"/>
    </xf>
    <xf numFmtId="0" fontId="0" fillId="19" borderId="6" xfId="0" applyFill="1" applyBorder="1" applyAlignment="1">
      <alignment vertical="top"/>
    </xf>
    <xf numFmtId="0" fontId="4" fillId="7" borderId="12" xfId="0" applyFont="1" applyFill="1" applyBorder="1" applyAlignment="1">
      <alignment horizontal="left" vertical="top" wrapText="1"/>
    </xf>
    <xf numFmtId="0" fontId="0" fillId="7" borderId="0" xfId="0" applyFill="1" applyAlignment="1">
      <alignment horizontal="left" vertical="top"/>
    </xf>
    <xf numFmtId="0" fontId="0" fillId="7" borderId="4" xfId="0" applyFill="1" applyBorder="1" applyAlignment="1">
      <alignment horizontal="left" vertical="top"/>
    </xf>
    <xf numFmtId="0" fontId="0" fillId="7" borderId="12" xfId="0" applyFill="1" applyBorder="1" applyAlignment="1">
      <alignment horizontal="left" vertical="top"/>
    </xf>
    <xf numFmtId="0" fontId="0" fillId="7" borderId="0" xfId="0" applyFill="1" applyAlignment="1">
      <alignment vertical="top"/>
    </xf>
    <xf numFmtId="0" fontId="10" fillId="0" borderId="1" xfId="0" applyFont="1" applyBorder="1" applyAlignment="1">
      <alignment wrapText="1"/>
    </xf>
    <xf numFmtId="0" fontId="0" fillId="6" borderId="11" xfId="0" applyFill="1" applyBorder="1" applyAlignment="1">
      <alignment horizontal="left" vertical="top" wrapText="1"/>
    </xf>
    <xf numFmtId="0" fontId="0" fillId="6" borderId="2" xfId="0" applyFill="1" applyBorder="1" applyAlignment="1">
      <alignment horizontal="left" wrapText="1"/>
    </xf>
    <xf numFmtId="0" fontId="0" fillId="6" borderId="3" xfId="0" applyFill="1" applyBorder="1" applyAlignment="1">
      <alignment horizontal="left" wrapText="1"/>
    </xf>
    <xf numFmtId="0" fontId="0" fillId="6" borderId="12" xfId="0" applyFill="1" applyBorder="1" applyAlignment="1">
      <alignment horizontal="left" wrapText="1"/>
    </xf>
    <xf numFmtId="0" fontId="0" fillId="6" borderId="0" xfId="0" applyFill="1" applyAlignment="1">
      <alignment horizontal="left" wrapText="1"/>
    </xf>
    <xf numFmtId="0" fontId="0" fillId="6" borderId="4" xfId="0" applyFill="1" applyBorder="1" applyAlignment="1">
      <alignment horizontal="left" wrapText="1"/>
    </xf>
    <xf numFmtId="0" fontId="0" fillId="6" borderId="5" xfId="0" applyFill="1" applyBorder="1" applyAlignment="1">
      <alignment horizontal="left" wrapText="1"/>
    </xf>
    <xf numFmtId="0" fontId="0" fillId="6" borderId="6" xfId="0" applyFill="1" applyBorder="1" applyAlignment="1">
      <alignment horizontal="left" wrapText="1"/>
    </xf>
    <xf numFmtId="0" fontId="0" fillId="6" borderId="7" xfId="0" applyFill="1" applyBorder="1" applyAlignment="1">
      <alignment horizontal="left" wrapText="1"/>
    </xf>
    <xf numFmtId="0" fontId="0" fillId="6" borderId="11" xfId="0" applyFill="1" applyBorder="1" applyAlignment="1">
      <alignment vertical="top" wrapText="1"/>
    </xf>
    <xf numFmtId="0" fontId="0" fillId="6" borderId="2" xfId="0" applyFill="1" applyBorder="1" applyAlignment="1">
      <alignment vertical="top" wrapText="1"/>
    </xf>
    <xf numFmtId="0" fontId="0" fillId="6" borderId="12" xfId="0" applyFill="1" applyBorder="1" applyAlignment="1">
      <alignment vertical="top"/>
    </xf>
    <xf numFmtId="0" fontId="0" fillId="6" borderId="0" xfId="0" applyFill="1" applyAlignment="1">
      <alignment vertical="top"/>
    </xf>
    <xf numFmtId="0" fontId="0" fillId="6" borderId="5" xfId="0" applyFill="1" applyBorder="1" applyAlignment="1">
      <alignment vertical="top"/>
    </xf>
    <xf numFmtId="0" fontId="0" fillId="6" borderId="6" xfId="0" applyFill="1" applyBorder="1" applyAlignment="1">
      <alignment vertical="top"/>
    </xf>
    <xf numFmtId="0" fontId="6" fillId="8" borderId="14" xfId="0" applyFont="1" applyFill="1" applyBorder="1" applyAlignment="1">
      <alignment vertical="center"/>
    </xf>
    <xf numFmtId="0" fontId="12" fillId="0" borderId="0" xfId="0" applyFont="1" applyAlignment="1">
      <alignment vertical="top" wrapText="1"/>
    </xf>
    <xf numFmtId="0" fontId="4" fillId="19" borderId="12" xfId="0" applyFont="1" applyFill="1" applyBorder="1" applyAlignment="1">
      <alignment horizontal="left" vertical="top"/>
    </xf>
    <xf numFmtId="0" fontId="0" fillId="19" borderId="0" xfId="0" applyFill="1" applyAlignment="1">
      <alignment horizontal="left" vertical="top"/>
    </xf>
    <xf numFmtId="0" fontId="0" fillId="19" borderId="12" xfId="0" applyFill="1" applyBorder="1" applyAlignment="1">
      <alignment horizontal="left" vertical="top"/>
    </xf>
    <xf numFmtId="0" fontId="6" fillId="13" borderId="8" xfId="0" applyFont="1" applyFill="1" applyBorder="1" applyAlignment="1">
      <alignment vertical="center"/>
    </xf>
    <xf numFmtId="0" fontId="14" fillId="13" borderId="9" xfId="0" applyFont="1" applyFill="1" applyBorder="1" applyAlignment="1">
      <alignment vertical="center"/>
    </xf>
    <xf numFmtId="0" fontId="4" fillId="19" borderId="11" xfId="0" applyFont="1" applyFill="1" applyBorder="1" applyAlignment="1">
      <alignment horizontal="left" vertical="top"/>
    </xf>
    <xf numFmtId="0" fontId="0" fillId="19" borderId="2" xfId="0" applyFill="1" applyBorder="1" applyAlignment="1">
      <alignment horizontal="left" vertical="top"/>
    </xf>
    <xf numFmtId="0" fontId="0" fillId="19" borderId="11" xfId="0" applyFill="1" applyBorder="1" applyAlignment="1">
      <alignment horizontal="left" vertical="top"/>
    </xf>
    <xf numFmtId="0" fontId="0" fillId="19" borderId="2" xfId="0" applyFill="1" applyBorder="1" applyAlignment="1">
      <alignment vertical="top"/>
    </xf>
    <xf numFmtId="0" fontId="0" fillId="11" borderId="0" xfId="0" applyFill="1" applyAlignment="1">
      <alignment horizontal="left" vertical="top"/>
    </xf>
    <xf numFmtId="0" fontId="0" fillId="11" borderId="0" xfId="0" applyFill="1" applyAlignment="1">
      <alignment vertical="top"/>
    </xf>
    <xf numFmtId="0" fontId="4" fillId="11" borderId="12" xfId="0" applyFont="1" applyFill="1" applyBorder="1" applyAlignment="1">
      <alignment horizontal="left" vertical="top"/>
    </xf>
    <xf numFmtId="0" fontId="0" fillId="11" borderId="4" xfId="0" applyFill="1" applyBorder="1" applyAlignment="1">
      <alignment horizontal="left" vertical="top"/>
    </xf>
    <xf numFmtId="0" fontId="6" fillId="8" borderId="8" xfId="0" applyFont="1" applyFill="1" applyBorder="1" applyAlignment="1">
      <alignment vertical="center"/>
    </xf>
    <xf numFmtId="0" fontId="14" fillId="8" borderId="9" xfId="0" applyFont="1" applyFill="1" applyBorder="1" applyAlignment="1">
      <alignment vertical="center"/>
    </xf>
    <xf numFmtId="0" fontId="0" fillId="17" borderId="0" xfId="0" applyFill="1" applyAlignment="1">
      <alignment vertical="top" wrapText="1"/>
    </xf>
    <xf numFmtId="0" fontId="0" fillId="17" borderId="0" xfId="0" applyFill="1" applyAlignment="1">
      <alignment wrapText="1"/>
    </xf>
    <xf numFmtId="0" fontId="4" fillId="6" borderId="12" xfId="0" applyFont="1" applyFill="1" applyBorder="1" applyAlignment="1">
      <alignment horizontal="left" vertical="top"/>
    </xf>
    <xf numFmtId="0" fontId="0" fillId="6" borderId="0" xfId="0" applyFill="1" applyAlignment="1">
      <alignment horizontal="left" vertical="top"/>
    </xf>
    <xf numFmtId="0" fontId="0" fillId="6" borderId="4" xfId="0" applyFill="1" applyBorder="1" applyAlignment="1">
      <alignment horizontal="left" vertical="top"/>
    </xf>
    <xf numFmtId="0" fontId="4" fillId="6" borderId="5" xfId="0" applyFont="1" applyFill="1" applyBorder="1" applyAlignment="1">
      <alignment horizontal="left" vertical="top"/>
    </xf>
    <xf numFmtId="0" fontId="0" fillId="6" borderId="6" xfId="0" applyFill="1" applyBorder="1" applyAlignment="1">
      <alignment horizontal="left" vertical="top"/>
    </xf>
    <xf numFmtId="0" fontId="0" fillId="6" borderId="7" xfId="0" applyFill="1" applyBorder="1" applyAlignment="1">
      <alignment horizontal="left" vertical="top"/>
    </xf>
    <xf numFmtId="0" fontId="0" fillId="6" borderId="11" xfId="0" applyFill="1" applyBorder="1" applyAlignment="1">
      <alignment horizontal="left" vertical="top"/>
    </xf>
    <xf numFmtId="0" fontId="0" fillId="6" borderId="2" xfId="0" applyFill="1" applyBorder="1" applyAlignment="1">
      <alignment vertical="top"/>
    </xf>
    <xf numFmtId="0" fontId="0" fillId="6" borderId="12" xfId="0" applyFill="1" applyBorder="1" applyAlignment="1">
      <alignment horizontal="left" vertical="top"/>
    </xf>
    <xf numFmtId="0" fontId="6" fillId="12" borderId="1" xfId="0" applyFont="1" applyFill="1" applyBorder="1" applyAlignment="1">
      <alignment horizontal="center" vertical="center"/>
    </xf>
    <xf numFmtId="0" fontId="10" fillId="0" borderId="1" xfId="8" applyFont="1" applyFill="1" applyBorder="1" applyAlignment="1">
      <alignment wrapText="1"/>
    </xf>
    <xf numFmtId="164" fontId="9" fillId="0" borderId="0" xfId="7" applyFont="1" applyBorder="1" applyAlignment="1">
      <alignment horizontal="center" vertical="center"/>
    </xf>
    <xf numFmtId="0" fontId="8" fillId="0" borderId="0" xfId="0" applyFont="1" applyAlignment="1">
      <alignment horizontal="center"/>
    </xf>
    <xf numFmtId="0" fontId="8" fillId="0" borderId="6" xfId="0" applyFont="1" applyBorder="1" applyAlignment="1">
      <alignment horizontal="center"/>
    </xf>
    <xf numFmtId="0" fontId="6" fillId="16" borderId="8" xfId="0" applyFont="1" applyFill="1" applyBorder="1" applyAlignment="1">
      <alignment vertical="center" wrapText="1"/>
    </xf>
    <xf numFmtId="0" fontId="14" fillId="16" borderId="9" xfId="0" applyFont="1" applyFill="1" applyBorder="1" applyAlignment="1">
      <alignment vertical="center" wrapText="1"/>
    </xf>
    <xf numFmtId="0" fontId="14" fillId="16" borderId="2" xfId="0" applyFont="1" applyFill="1" applyBorder="1" applyAlignment="1">
      <alignment vertical="center" wrapText="1"/>
    </xf>
    <xf numFmtId="0" fontId="4" fillId="7" borderId="11" xfId="0" applyFont="1" applyFill="1" applyBorder="1" applyAlignment="1">
      <alignment horizontal="left" vertical="top"/>
    </xf>
    <xf numFmtId="0" fontId="0" fillId="7" borderId="2" xfId="0" applyFill="1" applyBorder="1" applyAlignment="1">
      <alignment horizontal="left" vertical="top"/>
    </xf>
    <xf numFmtId="0" fontId="0" fillId="7" borderId="3" xfId="0" applyFill="1" applyBorder="1" applyAlignment="1">
      <alignment horizontal="left" vertical="top"/>
    </xf>
    <xf numFmtId="0" fontId="0" fillId="7" borderId="11" xfId="0" applyFill="1" applyBorder="1" applyAlignment="1">
      <alignment horizontal="left" vertical="top"/>
    </xf>
    <xf numFmtId="0" fontId="0" fillId="7" borderId="2" xfId="0" applyFill="1" applyBorder="1" applyAlignment="1">
      <alignment vertical="top"/>
    </xf>
    <xf numFmtId="0" fontId="4" fillId="10" borderId="12" xfId="0" applyFont="1" applyFill="1" applyBorder="1" applyAlignment="1">
      <alignment horizontal="left" vertical="top"/>
    </xf>
    <xf numFmtId="0" fontId="0" fillId="10" borderId="0" xfId="0" applyFill="1" applyAlignment="1">
      <alignment horizontal="left" vertical="top"/>
    </xf>
    <xf numFmtId="0" fontId="0" fillId="10" borderId="4" xfId="0" applyFill="1" applyBorder="1" applyAlignment="1">
      <alignment horizontal="left" vertical="top"/>
    </xf>
    <xf numFmtId="0" fontId="0" fillId="10" borderId="0" xfId="0" applyFill="1" applyAlignment="1">
      <alignment vertical="top"/>
    </xf>
    <xf numFmtId="0" fontId="4" fillId="20" borderId="12" xfId="0" applyFont="1" applyFill="1" applyBorder="1" applyAlignment="1">
      <alignment horizontal="left" vertical="top"/>
    </xf>
    <xf numFmtId="0" fontId="0" fillId="20" borderId="0" xfId="0" applyFill="1" applyAlignment="1">
      <alignment horizontal="left" vertical="top"/>
    </xf>
    <xf numFmtId="0" fontId="0" fillId="20" borderId="12" xfId="0" applyFill="1" applyBorder="1" applyAlignment="1">
      <alignment horizontal="left" vertical="top"/>
    </xf>
    <xf numFmtId="0" fontId="0" fillId="20" borderId="0" xfId="0" applyFill="1" applyAlignment="1">
      <alignment vertical="top"/>
    </xf>
    <xf numFmtId="0" fontId="6" fillId="14" borderId="8" xfId="0" applyFont="1" applyFill="1" applyBorder="1" applyAlignment="1">
      <alignment vertical="center" wrapText="1"/>
    </xf>
    <xf numFmtId="0" fontId="14" fillId="14" borderId="9" xfId="0" applyFont="1" applyFill="1" applyBorder="1" applyAlignment="1">
      <alignment vertical="center" wrapText="1"/>
    </xf>
    <xf numFmtId="0" fontId="4" fillId="10" borderId="11" xfId="0" applyFont="1" applyFill="1" applyBorder="1" applyAlignment="1">
      <alignment horizontal="left" vertical="top"/>
    </xf>
    <xf numFmtId="0" fontId="0" fillId="10" borderId="2" xfId="0" applyFill="1" applyBorder="1" applyAlignment="1">
      <alignment horizontal="left" vertical="top"/>
    </xf>
    <xf numFmtId="0" fontId="0" fillId="10" borderId="3" xfId="0" applyFill="1" applyBorder="1" applyAlignment="1">
      <alignment horizontal="left" vertical="top"/>
    </xf>
    <xf numFmtId="0" fontId="0" fillId="11" borderId="11" xfId="0" applyFill="1" applyBorder="1" applyAlignment="1">
      <alignment vertical="top" wrapText="1"/>
    </xf>
    <xf numFmtId="0" fontId="0" fillId="11" borderId="2" xfId="0" applyFill="1" applyBorder="1" applyAlignment="1">
      <alignment vertical="top" wrapText="1"/>
    </xf>
    <xf numFmtId="0" fontId="0" fillId="11" borderId="12" xfId="0" applyFill="1" applyBorder="1" applyAlignment="1">
      <alignment vertical="top"/>
    </xf>
    <xf numFmtId="0" fontId="0" fillId="11" borderId="5" xfId="0" applyFill="1" applyBorder="1" applyAlignment="1">
      <alignment vertical="top"/>
    </xf>
    <xf numFmtId="0" fontId="0" fillId="11" borderId="6" xfId="0" applyFill="1" applyBorder="1" applyAlignment="1">
      <alignment vertical="top"/>
    </xf>
    <xf numFmtId="0" fontId="4" fillId="7" borderId="12" xfId="0" applyFont="1" applyFill="1" applyBorder="1" applyAlignment="1">
      <alignment horizontal="left" vertical="top"/>
    </xf>
    <xf numFmtId="0" fontId="4" fillId="22" borderId="11" xfId="0" applyFont="1" applyFill="1" applyBorder="1" applyAlignment="1">
      <alignment horizontal="left" vertical="top"/>
    </xf>
    <xf numFmtId="0" fontId="0" fillId="22" borderId="2" xfId="0" applyFill="1" applyBorder="1" applyAlignment="1">
      <alignment horizontal="left" vertical="top"/>
    </xf>
    <xf numFmtId="0" fontId="0" fillId="22" borderId="3" xfId="0" applyFill="1" applyBorder="1" applyAlignment="1">
      <alignment horizontal="left" vertical="top"/>
    </xf>
    <xf numFmtId="0" fontId="0" fillId="22" borderId="2" xfId="0" applyFill="1" applyBorder="1" applyAlignment="1">
      <alignment vertical="top"/>
    </xf>
    <xf numFmtId="0" fontId="4" fillId="22" borderId="12" xfId="0" applyFont="1" applyFill="1" applyBorder="1" applyAlignment="1">
      <alignment horizontal="left" vertical="top"/>
    </xf>
    <xf numFmtId="0" fontId="0" fillId="22" borderId="0" xfId="0" applyFill="1" applyAlignment="1">
      <alignment horizontal="left" vertical="top"/>
    </xf>
    <xf numFmtId="0" fontId="0" fillId="22" borderId="4" xfId="0" applyFill="1" applyBorder="1" applyAlignment="1">
      <alignment horizontal="left" vertical="top"/>
    </xf>
    <xf numFmtId="0" fontId="0" fillId="22" borderId="0" xfId="0" applyFill="1" applyAlignment="1">
      <alignment vertical="top"/>
    </xf>
    <xf numFmtId="0" fontId="4" fillId="22" borderId="5" xfId="0" applyFont="1" applyFill="1" applyBorder="1" applyAlignment="1">
      <alignment horizontal="left" vertical="top"/>
    </xf>
    <xf numFmtId="0" fontId="0" fillId="22" borderId="6" xfId="0" applyFill="1" applyBorder="1" applyAlignment="1">
      <alignment horizontal="left" vertical="top"/>
    </xf>
    <xf numFmtId="0" fontId="0" fillId="22" borderId="7" xfId="0" applyFill="1" applyBorder="1" applyAlignment="1">
      <alignment horizontal="left" vertical="top"/>
    </xf>
    <xf numFmtId="0" fontId="0" fillId="22" borderId="6" xfId="0" applyFill="1" applyBorder="1" applyAlignment="1">
      <alignment vertical="top"/>
    </xf>
    <xf numFmtId="0" fontId="4" fillId="19" borderId="5" xfId="0" applyFont="1" applyFill="1" applyBorder="1" applyAlignment="1">
      <alignment horizontal="left" vertical="top"/>
    </xf>
    <xf numFmtId="0" fontId="0" fillId="19" borderId="6" xfId="0" applyFill="1" applyBorder="1" applyAlignment="1">
      <alignment horizontal="left" vertical="top"/>
    </xf>
    <xf numFmtId="0" fontId="0" fillId="19" borderId="5" xfId="0" applyFill="1" applyBorder="1" applyAlignment="1">
      <alignment horizontal="left" vertical="top"/>
    </xf>
    <xf numFmtId="0" fontId="4" fillId="20" borderId="11" xfId="0" applyFont="1" applyFill="1" applyBorder="1" applyAlignment="1">
      <alignment horizontal="left" vertical="top"/>
    </xf>
    <xf numFmtId="0" fontId="0" fillId="20" borderId="2" xfId="0" applyFill="1" applyBorder="1" applyAlignment="1">
      <alignment horizontal="left" vertical="top"/>
    </xf>
    <xf numFmtId="0" fontId="0" fillId="20" borderId="11" xfId="0" applyFill="1" applyBorder="1" applyAlignment="1">
      <alignment horizontal="left" vertical="top"/>
    </xf>
    <xf numFmtId="0" fontId="0" fillId="20" borderId="2" xfId="0" applyFill="1" applyBorder="1" applyAlignment="1">
      <alignment vertical="top"/>
    </xf>
    <xf numFmtId="0" fontId="0" fillId="0" borderId="4" xfId="0" applyBorder="1" applyAlignment="1">
      <alignment vertical="top"/>
    </xf>
    <xf numFmtId="0" fontId="0" fillId="0" borderId="0" xfId="0" applyAlignment="1">
      <alignment vertical="top"/>
    </xf>
    <xf numFmtId="0" fontId="13" fillId="0" borderId="0" xfId="0" applyFont="1" applyAlignment="1">
      <alignment horizontal="left"/>
    </xf>
    <xf numFmtId="0" fontId="4" fillId="6" borderId="11" xfId="0" applyFont="1" applyFill="1" applyBorder="1" applyAlignment="1">
      <alignment horizontal="left" vertical="top"/>
    </xf>
    <xf numFmtId="0" fontId="0" fillId="6" borderId="2" xfId="0" applyFill="1" applyBorder="1" applyAlignment="1">
      <alignment horizontal="left" vertical="top"/>
    </xf>
    <xf numFmtId="0" fontId="0" fillId="6" borderId="3" xfId="0" applyFill="1" applyBorder="1" applyAlignment="1">
      <alignment horizontal="left" vertical="top"/>
    </xf>
    <xf numFmtId="1" fontId="3" fillId="0" borderId="0" xfId="1">
      <alignment horizontal="center" vertical="center"/>
    </xf>
    <xf numFmtId="0" fontId="6" fillId="12" borderId="1" xfId="2" applyFont="1" applyFill="1">
      <alignment horizontal="center" vertical="center"/>
    </xf>
    <xf numFmtId="0" fontId="4" fillId="7" borderId="5" xfId="0" applyFont="1" applyFill="1" applyBorder="1" applyAlignment="1">
      <alignment horizontal="left" vertical="top"/>
    </xf>
    <xf numFmtId="0" fontId="0" fillId="7" borderId="6" xfId="0" applyFill="1" applyBorder="1" applyAlignment="1">
      <alignment horizontal="left" vertical="top"/>
    </xf>
    <xf numFmtId="0" fontId="0" fillId="7" borderId="7" xfId="0" applyFill="1" applyBorder="1" applyAlignment="1">
      <alignment horizontal="left" vertical="top"/>
    </xf>
    <xf numFmtId="0" fontId="4" fillId="11" borderId="5" xfId="0" applyFont="1" applyFill="1" applyBorder="1" applyAlignment="1">
      <alignment horizontal="left" vertical="top"/>
    </xf>
    <xf numFmtId="0" fontId="0" fillId="11" borderId="6" xfId="0" applyFill="1" applyBorder="1" applyAlignment="1">
      <alignment horizontal="left" vertical="top"/>
    </xf>
    <xf numFmtId="0" fontId="0" fillId="11" borderId="7" xfId="0" applyFill="1" applyBorder="1" applyAlignment="1">
      <alignment horizontal="left" vertical="top"/>
    </xf>
    <xf numFmtId="0" fontId="6" fillId="15" borderId="8" xfId="0" applyFont="1" applyFill="1" applyBorder="1" applyAlignment="1">
      <alignment vertical="center"/>
    </xf>
    <xf numFmtId="0" fontId="14" fillId="15" borderId="9" xfId="0" applyFont="1" applyFill="1" applyBorder="1" applyAlignment="1">
      <alignment vertical="center"/>
    </xf>
    <xf numFmtId="0" fontId="4" fillId="11" borderId="11" xfId="0" applyFont="1" applyFill="1" applyBorder="1" applyAlignment="1">
      <alignment horizontal="left" vertical="top"/>
    </xf>
    <xf numFmtId="0" fontId="0" fillId="11" borderId="2" xfId="0" applyFill="1" applyBorder="1" applyAlignment="1">
      <alignment horizontal="left" vertical="top"/>
    </xf>
    <xf numFmtId="0" fontId="0" fillId="11" borderId="3" xfId="0" applyFill="1" applyBorder="1" applyAlignment="1">
      <alignment horizontal="left" vertical="top"/>
    </xf>
    <xf numFmtId="0" fontId="0" fillId="11" borderId="2" xfId="0" applyFill="1" applyBorder="1" applyAlignment="1">
      <alignment vertical="top"/>
    </xf>
    <xf numFmtId="0" fontId="0" fillId="6" borderId="5" xfId="0" applyFill="1" applyBorder="1" applyAlignment="1">
      <alignment horizontal="left" vertical="top"/>
    </xf>
    <xf numFmtId="0" fontId="6" fillId="3" borderId="8" xfId="0" applyFont="1" applyFill="1" applyBorder="1" applyAlignment="1">
      <alignment vertical="center"/>
    </xf>
    <xf numFmtId="0" fontId="14" fillId="3" borderId="9" xfId="0" applyFont="1" applyFill="1" applyBorder="1" applyAlignment="1">
      <alignment vertical="center"/>
    </xf>
    <xf numFmtId="0" fontId="0" fillId="0" borderId="13" xfId="0" applyBorder="1" applyAlignment="1">
      <alignment vertical="center"/>
    </xf>
  </cellXfs>
  <cellStyles count="9">
    <cellStyle name="Day" xfId="7" xr:uid="{00000000-0005-0000-0000-000000000000}"/>
    <cellStyle name="Heading 1" xfId="2" builtinId="16" customBuiltin="1"/>
    <cellStyle name="Heading 2" xfId="3" builtinId="17" customBuiltin="1"/>
    <cellStyle name="Heading 3" xfId="4" builtinId="18" customBuiltin="1"/>
    <cellStyle name="Heading 4" xfId="5" builtinId="19" customBuiltin="1"/>
    <cellStyle name="Normal" xfId="0" builtinId="0" customBuiltin="1"/>
    <cellStyle name="Output" xfId="6" builtinId="21" customBuiltin="1"/>
    <cellStyle name="Title" xfId="1" builtinId="15" customBuiltin="1"/>
    <cellStyle name="WeekDay"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xdr:row>
      <xdr:rowOff>47625</xdr:rowOff>
    </xdr:from>
    <xdr:to>
      <xdr:col>6</xdr:col>
      <xdr:colOff>246416</xdr:colOff>
      <xdr:row>2</xdr:row>
      <xdr:rowOff>38100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276225"/>
          <a:ext cx="1795181" cy="342900"/>
        </a:xfrm>
        <a:prstGeom prst="rect">
          <a:avLst/>
        </a:prstGeom>
      </xdr:spPr>
    </xdr:pic>
    <xdr:clientData/>
  </xdr:twoCellAnchor>
  <xdr:twoCellAnchor>
    <xdr:from>
      <xdr:col>30</xdr:col>
      <xdr:colOff>22412</xdr:colOff>
      <xdr:row>18</xdr:row>
      <xdr:rowOff>22412</xdr:rowOff>
    </xdr:from>
    <xdr:to>
      <xdr:col>31</xdr:col>
      <xdr:colOff>1</xdr:colOff>
      <xdr:row>18</xdr:row>
      <xdr:rowOff>89647</xdr:rowOff>
    </xdr:to>
    <xdr:sp macro="" textlink="">
      <xdr:nvSpPr>
        <xdr:cNvPr id="3" name="Rectangle 2">
          <a:extLst>
            <a:ext uri="{FF2B5EF4-FFF2-40B4-BE49-F238E27FC236}">
              <a16:creationId xmlns:a16="http://schemas.microsoft.com/office/drawing/2014/main" id="{9D1A6077-EDD1-01EC-A71D-05CE7B7095D9}"/>
            </a:ext>
          </a:extLst>
        </xdr:cNvPr>
        <xdr:cNvSpPr/>
      </xdr:nvSpPr>
      <xdr:spPr>
        <a:xfrm>
          <a:off x="8337177" y="4459941"/>
          <a:ext cx="268942" cy="67235"/>
        </a:xfrm>
        <a:prstGeom prst="rect">
          <a:avLst/>
        </a:prstGeom>
        <a:solidFill>
          <a:schemeClr val="accent3">
            <a:lumMod val="60000"/>
            <a:lumOff val="40000"/>
          </a:schemeClr>
        </a:solidFill>
        <a:ln>
          <a:solidFill>
            <a:schemeClr val="accent3">
              <a:lumMod val="60000"/>
              <a:lumOff val="40000"/>
            </a:schemeClr>
          </a:solidFill>
        </a:ln>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12884</xdr:colOff>
      <xdr:row>19</xdr:row>
      <xdr:rowOff>11206</xdr:rowOff>
    </xdr:from>
    <xdr:to>
      <xdr:col>26</xdr:col>
      <xdr:colOff>280147</xdr:colOff>
      <xdr:row>19</xdr:row>
      <xdr:rowOff>89647</xdr:rowOff>
    </xdr:to>
    <xdr:sp macro="" textlink="">
      <xdr:nvSpPr>
        <xdr:cNvPr id="5" name="Rectangle 4">
          <a:extLst>
            <a:ext uri="{FF2B5EF4-FFF2-40B4-BE49-F238E27FC236}">
              <a16:creationId xmlns:a16="http://schemas.microsoft.com/office/drawing/2014/main" id="{E6800643-7EAB-438B-9F29-8BB00EA0A134}"/>
            </a:ext>
          </a:extLst>
        </xdr:cNvPr>
        <xdr:cNvSpPr/>
      </xdr:nvSpPr>
      <xdr:spPr>
        <a:xfrm>
          <a:off x="7162237" y="4672853"/>
          <a:ext cx="267263" cy="78441"/>
        </a:xfrm>
        <a:prstGeom prst="rect">
          <a:avLst/>
        </a:prstGeom>
        <a:solidFill>
          <a:schemeClr val="accent5">
            <a:lumMod val="60000"/>
            <a:lumOff val="40000"/>
          </a:schemeClr>
        </a:solidFill>
        <a:ln>
          <a:solidFill>
            <a:schemeClr val="accent5">
              <a:lumMod val="60000"/>
              <a:lumOff val="40000"/>
            </a:schemeClr>
          </a:solidFill>
        </a:ln>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12880</xdr:colOff>
      <xdr:row>17</xdr:row>
      <xdr:rowOff>11205</xdr:rowOff>
    </xdr:from>
    <xdr:to>
      <xdr:col>22</xdr:col>
      <xdr:colOff>281822</xdr:colOff>
      <xdr:row>17</xdr:row>
      <xdr:rowOff>78440</xdr:rowOff>
    </xdr:to>
    <xdr:sp macro="" textlink="">
      <xdr:nvSpPr>
        <xdr:cNvPr id="6" name="Rectangle 5">
          <a:extLst>
            <a:ext uri="{FF2B5EF4-FFF2-40B4-BE49-F238E27FC236}">
              <a16:creationId xmlns:a16="http://schemas.microsoft.com/office/drawing/2014/main" id="{966014A3-3A23-48E5-8EFC-AB83450965B3}"/>
            </a:ext>
          </a:extLst>
        </xdr:cNvPr>
        <xdr:cNvSpPr/>
      </xdr:nvSpPr>
      <xdr:spPr>
        <a:xfrm>
          <a:off x="6131292" y="4224617"/>
          <a:ext cx="268942" cy="67235"/>
        </a:xfrm>
        <a:prstGeom prst="rect">
          <a:avLst/>
        </a:prstGeom>
        <a:solidFill>
          <a:schemeClr val="accent3">
            <a:lumMod val="60000"/>
            <a:lumOff val="40000"/>
          </a:schemeClr>
        </a:solidFill>
        <a:ln>
          <a:solidFill>
            <a:schemeClr val="accent3">
              <a:lumMod val="60000"/>
              <a:lumOff val="40000"/>
            </a:schemeClr>
          </a:solidFill>
        </a:ln>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26324</xdr:colOff>
      <xdr:row>8</xdr:row>
      <xdr:rowOff>20169</xdr:rowOff>
    </xdr:from>
    <xdr:to>
      <xdr:col>14</xdr:col>
      <xdr:colOff>295266</xdr:colOff>
      <xdr:row>8</xdr:row>
      <xdr:rowOff>87404</xdr:rowOff>
    </xdr:to>
    <xdr:sp macro="" textlink="">
      <xdr:nvSpPr>
        <xdr:cNvPr id="7" name="Rectangle 6">
          <a:extLst>
            <a:ext uri="{FF2B5EF4-FFF2-40B4-BE49-F238E27FC236}">
              <a16:creationId xmlns:a16="http://schemas.microsoft.com/office/drawing/2014/main" id="{98630BCE-40A4-4C19-857D-CD2F09844BA7}"/>
            </a:ext>
          </a:extLst>
        </xdr:cNvPr>
        <xdr:cNvSpPr/>
      </xdr:nvSpPr>
      <xdr:spPr>
        <a:xfrm>
          <a:off x="4024583" y="2270310"/>
          <a:ext cx="268942" cy="67235"/>
        </a:xfrm>
        <a:prstGeom prst="rect">
          <a:avLst/>
        </a:prstGeom>
        <a:solidFill>
          <a:schemeClr val="accent3">
            <a:lumMod val="60000"/>
            <a:lumOff val="40000"/>
          </a:schemeClr>
        </a:solidFill>
        <a:ln>
          <a:solidFill>
            <a:schemeClr val="accent3">
              <a:lumMod val="60000"/>
              <a:lumOff val="40000"/>
            </a:schemeClr>
          </a:solidFill>
        </a:ln>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17359</xdr:colOff>
      <xdr:row>19</xdr:row>
      <xdr:rowOff>20172</xdr:rowOff>
    </xdr:from>
    <xdr:to>
      <xdr:col>6</xdr:col>
      <xdr:colOff>286301</xdr:colOff>
      <xdr:row>19</xdr:row>
      <xdr:rowOff>87407</xdr:rowOff>
    </xdr:to>
    <xdr:sp macro="" textlink="">
      <xdr:nvSpPr>
        <xdr:cNvPr id="8" name="Rectangle 7">
          <a:extLst>
            <a:ext uri="{FF2B5EF4-FFF2-40B4-BE49-F238E27FC236}">
              <a16:creationId xmlns:a16="http://schemas.microsoft.com/office/drawing/2014/main" id="{AE7A02FF-3946-4FAD-88D6-9A7D03D07778}"/>
            </a:ext>
          </a:extLst>
        </xdr:cNvPr>
        <xdr:cNvSpPr/>
      </xdr:nvSpPr>
      <xdr:spPr>
        <a:xfrm>
          <a:off x="1729618" y="4834219"/>
          <a:ext cx="268942" cy="67235"/>
        </a:xfrm>
        <a:prstGeom prst="rect">
          <a:avLst/>
        </a:prstGeom>
        <a:solidFill>
          <a:schemeClr val="accent3">
            <a:lumMod val="60000"/>
            <a:lumOff val="40000"/>
          </a:schemeClr>
        </a:solidFill>
        <a:ln>
          <a:solidFill>
            <a:schemeClr val="accent3">
              <a:lumMod val="60000"/>
              <a:lumOff val="40000"/>
            </a:schemeClr>
          </a:solidFill>
        </a:ln>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2:AP117"/>
  <sheetViews>
    <sheetView showGridLines="0" tabSelected="1" topLeftCell="A85" zoomScale="85" zoomScaleNormal="85" workbookViewId="0">
      <selection activeCell="B108" sqref="B108:D108"/>
    </sheetView>
  </sheetViews>
  <sheetFormatPr defaultRowHeight="18" customHeight="1" x14ac:dyDescent="0.25"/>
  <cols>
    <col min="1" max="1" width="3.42578125" customWidth="1"/>
    <col min="2" max="8" width="4.28515625" customWidth="1"/>
    <col min="9" max="9" width="3.140625" customWidth="1"/>
    <col min="10" max="16" width="4.28515625" customWidth="1"/>
    <col min="17" max="17" width="2.140625" customWidth="1"/>
    <col min="18" max="24" width="4.28515625" customWidth="1"/>
    <col min="25" max="25" width="2.28515625" customWidth="1"/>
    <col min="26" max="32" width="4.28515625" customWidth="1"/>
    <col min="33" max="33" width="2.7109375" customWidth="1"/>
    <col min="37" max="37" width="3.140625" customWidth="1"/>
    <col min="38" max="38" width="8.140625" customWidth="1"/>
  </cols>
  <sheetData>
    <row r="2" spans="2:41" ht="27.75" customHeight="1" x14ac:dyDescent="0.4">
      <c r="O2" s="3"/>
      <c r="P2" s="4"/>
      <c r="Q2" s="5" t="s">
        <v>53</v>
      </c>
    </row>
    <row r="3" spans="2:41" ht="27.75" customHeight="1" x14ac:dyDescent="0.4">
      <c r="O3" s="3"/>
      <c r="P3" s="4"/>
      <c r="Q3" s="5"/>
    </row>
    <row r="4" spans="2:41" ht="30" customHeight="1" x14ac:dyDescent="0.25">
      <c r="B4" s="310">
        <v>2025</v>
      </c>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row>
    <row r="5" spans="2:41" ht="18" customHeight="1" x14ac:dyDescent="0.25">
      <c r="B5" s="311" t="s">
        <v>0</v>
      </c>
      <c r="C5" s="311"/>
      <c r="D5" s="311"/>
      <c r="E5" s="311"/>
      <c r="F5" s="311"/>
      <c r="G5" s="311"/>
      <c r="H5" s="311"/>
      <c r="J5" s="311" t="s">
        <v>3</v>
      </c>
      <c r="K5" s="311"/>
      <c r="L5" s="311"/>
      <c r="M5" s="311"/>
      <c r="N5" s="311"/>
      <c r="O5" s="311"/>
      <c r="P5" s="311"/>
      <c r="R5" s="311" t="s">
        <v>6</v>
      </c>
      <c r="S5" s="311"/>
      <c r="T5" s="311"/>
      <c r="U5" s="311"/>
      <c r="V5" s="311"/>
      <c r="W5" s="311"/>
      <c r="X5" s="311"/>
      <c r="Z5" s="311" t="s">
        <v>8</v>
      </c>
      <c r="AA5" s="311"/>
      <c r="AB5" s="311"/>
      <c r="AC5" s="311"/>
      <c r="AD5" s="311"/>
      <c r="AE5" s="311"/>
      <c r="AF5" s="311"/>
      <c r="AH5" s="253" t="s">
        <v>48</v>
      </c>
      <c r="AI5" s="253"/>
      <c r="AJ5" s="253"/>
      <c r="AK5" s="253"/>
      <c r="AL5" s="253"/>
      <c r="AM5" s="74"/>
    </row>
    <row r="6" spans="2:41" ht="18" customHeight="1" x14ac:dyDescent="0.25">
      <c r="B6" s="2" t="s">
        <v>12</v>
      </c>
      <c r="C6" s="2" t="s">
        <v>13</v>
      </c>
      <c r="D6" s="2" t="s">
        <v>14</v>
      </c>
      <c r="E6" s="2" t="s">
        <v>15</v>
      </c>
      <c r="F6" s="2" t="s">
        <v>16</v>
      </c>
      <c r="G6" s="2" t="s">
        <v>17</v>
      </c>
      <c r="H6" s="2" t="s">
        <v>18</v>
      </c>
      <c r="J6" s="2" t="s">
        <v>12</v>
      </c>
      <c r="K6" s="2" t="s">
        <v>13</v>
      </c>
      <c r="L6" s="2" t="s">
        <v>14</v>
      </c>
      <c r="M6" s="2" t="s">
        <v>15</v>
      </c>
      <c r="N6" s="2" t="s">
        <v>16</v>
      </c>
      <c r="O6" s="2" t="s">
        <v>17</v>
      </c>
      <c r="P6" s="2" t="s">
        <v>18</v>
      </c>
      <c r="R6" s="2" t="s">
        <v>12</v>
      </c>
      <c r="S6" s="2" t="s">
        <v>13</v>
      </c>
      <c r="T6" s="2" t="s">
        <v>14</v>
      </c>
      <c r="U6" s="2" t="s">
        <v>15</v>
      </c>
      <c r="V6" s="2" t="s">
        <v>16</v>
      </c>
      <c r="W6" s="2" t="s">
        <v>17</v>
      </c>
      <c r="X6" s="2" t="s">
        <v>18</v>
      </c>
      <c r="Z6" s="2" t="s">
        <v>12</v>
      </c>
      <c r="AA6" s="2" t="s">
        <v>13</v>
      </c>
      <c r="AB6" s="2" t="s">
        <v>14</v>
      </c>
      <c r="AC6" s="2" t="s">
        <v>15</v>
      </c>
      <c r="AD6" s="2" t="s">
        <v>16</v>
      </c>
      <c r="AE6" s="2" t="s">
        <v>17</v>
      </c>
      <c r="AF6" s="2" t="s">
        <v>18</v>
      </c>
      <c r="AH6" s="11"/>
      <c r="AI6" s="254" t="s">
        <v>52</v>
      </c>
      <c r="AJ6" s="209"/>
      <c r="AK6" s="209"/>
      <c r="AL6" s="209"/>
    </row>
    <row r="7" spans="2:41" ht="18" customHeight="1" x14ac:dyDescent="0.25">
      <c r="B7" s="1" t="str">
        <f>IF(AND(YEAR(JanSun1)=Year,MONTH(JanSun1)=1),JanSun1, "")</f>
        <v/>
      </c>
      <c r="C7" s="1" t="str">
        <f>IF(AND(YEAR(JanSun1+1)=Year,MONTH(JanSun1+1)=1),JanSun1+1, "")</f>
        <v/>
      </c>
      <c r="D7" s="1" t="str">
        <f>IF(AND(YEAR(JanSun1+2)=Year,MONTH(JanSun1+2)=1),JanSun1+2, "")</f>
        <v/>
      </c>
      <c r="E7" s="1">
        <f>IF(AND(YEAR(JanSun1+3)=Year,MONTH(JanSun1+3)=1),JanSun1+3, "")</f>
        <v>45658</v>
      </c>
      <c r="F7" s="1">
        <f>IF(AND(YEAR(JanSun1+4)=Year,MONTH(JanSun1+4)=1),JanSun1+4, "")</f>
        <v>45659</v>
      </c>
      <c r="G7" s="1">
        <f>IF(AND(YEAR(JanSun1+5)=Year,MONTH(JanSun1+5)=1),JanSun1+5, "")</f>
        <v>45660</v>
      </c>
      <c r="H7" s="1">
        <f>IF(AND(YEAR(JanSun1+6)=Year,MONTH(JanSun1+6)=1),JanSun1+6, "")</f>
        <v>45661</v>
      </c>
      <c r="J7" s="1" t="str">
        <f>IF(AND(YEAR(AprSun1)=Year,MONTH(AprSun1)=4),AprSun1, "")</f>
        <v/>
      </c>
      <c r="K7" s="1" t="str">
        <f>IF(AND(YEAR(AprSun1+1)=Year,MONTH(AprSun1+1)=4),AprSun1+1, "")</f>
        <v/>
      </c>
      <c r="L7" s="1">
        <f>IF(AND(YEAR(AprSun1+2)=Year,MONTH(AprSun1+2)=4),AprSun1+2, "")</f>
        <v>45748</v>
      </c>
      <c r="M7" s="1">
        <f>IF(AND(YEAR(AprSun1+3)=Year,MONTH(AprSun1+3)=4),AprSun1+3, "")</f>
        <v>45749</v>
      </c>
      <c r="N7" s="1">
        <f>IF(AND(YEAR(AprSun1+4)=Year,MONTH(AprSun1+4)=4),AprSun1+4, "")</f>
        <v>45750</v>
      </c>
      <c r="O7" s="1">
        <f>IF(AND(YEAR(AprSun1+5)=Year,MONTH(AprSun1+5)=4),AprSun1+5, "")</f>
        <v>45751</v>
      </c>
      <c r="P7" s="1">
        <f>IF(AND(YEAR(AprSun1+6)=Year,MONTH(AprSun1+6)=4),AprSun1+6, "")</f>
        <v>45752</v>
      </c>
      <c r="R7" s="1" t="str">
        <f>IF(AND(YEAR(JulSun1)=Year,MONTH(JulSun1)=7),JulSun1, "")</f>
        <v/>
      </c>
      <c r="S7" s="1" t="str">
        <f>IF(AND(YEAR(JulSun1+1)=Year,MONTH(JulSun1+1)=7),JulSun1+1, "")</f>
        <v/>
      </c>
      <c r="T7" s="1">
        <f>IF(AND(YEAR(JulSun1+2)=Year,MONTH(JulSun1+2)=7),JulSun1+2, "")</f>
        <v>45839</v>
      </c>
      <c r="U7" s="1">
        <f>IF(AND(YEAR(JulSun1+3)=Year,MONTH(JulSun1+3)=7),JulSun1+3, "")</f>
        <v>45840</v>
      </c>
      <c r="V7" s="1">
        <f>IF(AND(YEAR(JulSun1+4)=Year,MONTH(JulSun1+4)=7),JulSun1+4, "")</f>
        <v>45841</v>
      </c>
      <c r="W7" s="1">
        <f>IF(AND(YEAR(JulSun1+5)=Year,MONTH(JulSun1+5)=7),JulSun1+5, "")</f>
        <v>45842</v>
      </c>
      <c r="X7" s="1">
        <f>IF(AND(YEAR(JulSun1+6)=Year,MONTH(JulSun1+6)=7),JulSun1+6, "")</f>
        <v>45843</v>
      </c>
      <c r="Z7" s="1" t="str">
        <f>IF(AND(YEAR(OctSun1)=Year,MONTH(OctSun1)=10),OctSun1, "")</f>
        <v/>
      </c>
      <c r="AA7" s="1" t="str">
        <f>IF(AND(YEAR(OctSun1+1)=Year,MONTH(OctSun1+1)=10),OctSun1+1, "")</f>
        <v/>
      </c>
      <c r="AB7" s="1" t="str">
        <f>IF(AND(YEAR(OctSun1+2)=Year,MONTH(OctSun1+2)=10),OctSun1+2, "")</f>
        <v/>
      </c>
      <c r="AC7" s="1">
        <f>IF(AND(YEAR(OctSun1+3)=Year,MONTH(OctSun1+3)=10),OctSun1+3, "")</f>
        <v>45931</v>
      </c>
      <c r="AD7" s="1">
        <f>IF(AND(YEAR(OctSun1+4)=Year,MONTH(OctSun1+4)=10),OctSun1+4, "")</f>
        <v>45932</v>
      </c>
      <c r="AE7" s="1">
        <f>IF(AND(YEAR(OctSun1+5)=Year,MONTH(OctSun1+5)=10),OctSun1+5, "")</f>
        <v>45933</v>
      </c>
      <c r="AF7" s="1">
        <f>IF(AND(YEAR(OctSun1+6)=Year,MONTH(OctSun1+6)=10),OctSun1+6, "")</f>
        <v>45934</v>
      </c>
      <c r="AH7" s="10"/>
      <c r="AI7" s="209" t="s">
        <v>20</v>
      </c>
      <c r="AJ7" s="209"/>
      <c r="AK7" s="209"/>
      <c r="AL7" s="209"/>
    </row>
    <row r="8" spans="2:41" ht="18" customHeight="1" x14ac:dyDescent="0.25">
      <c r="B8" s="1">
        <f>IF(AND(YEAR(JanSun1+7)=Year,MONTH(JanSun1+7)=1),JanSun1+7, "")</f>
        <v>45662</v>
      </c>
      <c r="C8" s="1">
        <f>IF(AND(YEAR(JanSun1+8)=Year,MONTH(JanSun1+8)=1),JanSun1+8, "")</f>
        <v>45663</v>
      </c>
      <c r="D8" s="1">
        <f>IF(AND(YEAR(JanSun1+9)=Year,MONTH(JanSun1+9)=1),JanSun1+9, "")</f>
        <v>45664</v>
      </c>
      <c r="E8" s="1">
        <f>IF(AND(YEAR(JanSun1+10)=Year,MONTH(JanSun1+10)=1),JanSun1+10, "")</f>
        <v>45665</v>
      </c>
      <c r="F8" s="18">
        <f>IF(AND(YEAR(JanSun1+11)=Year,MONTH(JanSun1+11)=1),JanSun1+11, "")</f>
        <v>45666</v>
      </c>
      <c r="G8" s="1">
        <f>IF(AND(YEAR(JanSun1+12)=Year,MONTH(JanSun1+12)=1),JanSun1+12, "")</f>
        <v>45667</v>
      </c>
      <c r="H8" s="1">
        <f>IF(AND(YEAR(JanSun1+13)=Year,MONTH(JanSun1+13)=1),JanSun1+13, "")</f>
        <v>45668</v>
      </c>
      <c r="J8" s="1">
        <f>IF(AND(YEAR(AprSun1+7)=Year,MONTH(AprSun1+7)=4),AprSun1+7, "")</f>
        <v>45753</v>
      </c>
      <c r="K8" s="1">
        <f>IF(AND(YEAR(AprSun1+8)=Year,MONTH(AprSun1+8)=4),AprSun1+8, "")</f>
        <v>45754</v>
      </c>
      <c r="L8" s="1">
        <f>IF(AND(YEAR(AprSun1+9)=Year,MONTH(AprSun1+9)=4),AprSun1+9, "")</f>
        <v>45755</v>
      </c>
      <c r="M8" s="1">
        <f>IF(AND(YEAR(AprSun1+10)=Year,MONTH(AprSun1+10)=4),AprSun1+10, "")</f>
        <v>45756</v>
      </c>
      <c r="N8" s="1">
        <f>IF(AND(YEAR(AprSun1+11)=Year,MONTH(AprSun1+11)=4),AprSun1+11, "")</f>
        <v>45757</v>
      </c>
      <c r="O8" s="1">
        <f>IF(AND(YEAR(AprSun1+12)=Year,MONTH(AprSun1+12)=4),AprSun1+12, "")</f>
        <v>45758</v>
      </c>
      <c r="P8" s="1">
        <f>IF(AND(YEAR(AprSun1+13)=Year,MONTH(AprSun1+13)=4),AprSun1+13, "")</f>
        <v>45759</v>
      </c>
      <c r="R8" s="1">
        <f>IF(AND(YEAR(JulSun1+7)=Year,MONTH(JulSun1+7)=7),JulSun1+7, "")</f>
        <v>45844</v>
      </c>
      <c r="S8" s="1">
        <f>IF(AND(YEAR(JulSun1+8)=Year,MONTH(JulSun1+8)=7),JulSun1+8, "")</f>
        <v>45845</v>
      </c>
      <c r="T8" s="1">
        <f>IF(AND(YEAR(JulSun1+9)=Year,MONTH(JulSun1+9)=7),JulSun1+9, "")</f>
        <v>45846</v>
      </c>
      <c r="U8" s="1">
        <f>IF(AND(YEAR(JulSun1+10)=Year,MONTH(JulSun1+10)=7),JulSun1+10, "")</f>
        <v>45847</v>
      </c>
      <c r="V8" s="1">
        <f>IF(AND(YEAR(JulSun1+11)=Year,MONTH(JulSun1+11)=7),JulSun1+11, "")</f>
        <v>45848</v>
      </c>
      <c r="W8" s="1">
        <f>IF(AND(YEAR(JulSun1+12)=Year,MONTH(JulSun1+12)=7),JulSun1+12, "")</f>
        <v>45849</v>
      </c>
      <c r="X8" s="1">
        <f>IF(AND(YEAR(JulSun1+13)=Year,MONTH(JulSun1+13)=7),JulSun1+13, "")</f>
        <v>45850</v>
      </c>
      <c r="Z8" s="1">
        <f>IF(AND(YEAR(OctSun1+7)=Year,MONTH(OctSun1+7)=10),OctSun1+7, "")</f>
        <v>45935</v>
      </c>
      <c r="AA8" s="1">
        <f>IF(AND(YEAR(OctSun1+8)=Year,MONTH(OctSun1+8)=10),OctSun1+8, "")</f>
        <v>45936</v>
      </c>
      <c r="AB8" s="1">
        <f>IF(AND(YEAR(OctSun1+9)=Year,MONTH(OctSun1+9)=10),OctSun1+9, "")</f>
        <v>45937</v>
      </c>
      <c r="AC8" s="1">
        <f>IF(AND(YEAR(OctSun1+10)=Year,MONTH(OctSun1+10)=10),OctSun1+10, "")</f>
        <v>45938</v>
      </c>
      <c r="AD8" s="1">
        <f>IF(AND(YEAR(OctSun1+11)=Year,MONTH(OctSun1+11)=10),OctSun1+11, "")</f>
        <v>45939</v>
      </c>
      <c r="AE8" s="1">
        <f>IF(AND(YEAR(OctSun1+12)=Year,MONTH(OctSun1+12)=10),OctSun1+12, "")</f>
        <v>45940</v>
      </c>
      <c r="AF8" s="1">
        <f>IF(AND(YEAR(OctSun1+13)=Year,MONTH(OctSun1+13)=10),OctSun1+13, "")</f>
        <v>45941</v>
      </c>
      <c r="AH8" s="12"/>
      <c r="AI8" s="209" t="s">
        <v>39</v>
      </c>
      <c r="AJ8" s="209"/>
      <c r="AK8" s="209"/>
      <c r="AL8" s="209"/>
      <c r="AO8" s="88"/>
    </row>
    <row r="9" spans="2:41" ht="18" customHeight="1" x14ac:dyDescent="0.25">
      <c r="B9" s="1">
        <f>IF(AND(YEAR(JanSun1+14)=Year,MONTH(JanSun1+14)=1),JanSun1+14, "")</f>
        <v>45669</v>
      </c>
      <c r="C9" s="1">
        <f>IF(AND(YEAR(JanSun1+15)=Year,MONTH(JanSun1+15)=1),JanSun1+15, "")</f>
        <v>45670</v>
      </c>
      <c r="D9" s="1">
        <f>IF(AND(YEAR(JanSun1+16)=Year,MONTH(JanSun1+16)=1),JanSun1+16, "")</f>
        <v>45671</v>
      </c>
      <c r="E9" s="1">
        <f>IF(AND(YEAR(JanSun1+17)=Year,MONTH(JanSun1+17)=1),JanSun1+17, "")</f>
        <v>45672</v>
      </c>
      <c r="F9" s="76">
        <f>IF(AND(YEAR(JanSun1+18)=Year,MONTH(JanSun1+18)=1),JanSun1+18, "")</f>
        <v>45673</v>
      </c>
      <c r="G9" s="1">
        <f>IF(AND(YEAR(JanSun1+19)=Year,MONTH(JanSun1+19)=1),JanSun1+19, "")</f>
        <v>45674</v>
      </c>
      <c r="H9" s="1">
        <f>IF(AND(YEAR(JanSun1+20)=Year,MONTH(JanSun1+20)=1),JanSun1+20, "")</f>
        <v>45675</v>
      </c>
      <c r="J9" s="1">
        <f>IF(AND(YEAR(AprSun1+14)=Year,MONTH(AprSun1+14)=4),AprSun1+14, "")</f>
        <v>45760</v>
      </c>
      <c r="K9" s="1">
        <f>IF(AND(YEAR(AprSun1+15)=Year,MONTH(AprSun1+15)=4),AprSun1+15, "")</f>
        <v>45761</v>
      </c>
      <c r="L9" s="1">
        <f>IF(AND(YEAR(AprSun1+16)=Year,MONTH(AprSun1+16)=4),AprSun1+16, "")</f>
        <v>45762</v>
      </c>
      <c r="M9" s="1">
        <f>IF(AND(YEAR(AprSun1+17)=Year,MONTH(AprSun1+17)=4),AprSun1+17, "")</f>
        <v>45763</v>
      </c>
      <c r="N9" s="18">
        <f>IF(AND(YEAR(AprSun1+18)=Year,MONTH(AprSun1+18)=4),AprSun1+18, "")</f>
        <v>45764</v>
      </c>
      <c r="O9" s="17">
        <f>IF(AND(YEAR(AprSun1+19)=Year,MONTH(AprSun1+19)=4),AprSun1+19, "")</f>
        <v>45765</v>
      </c>
      <c r="P9" s="1">
        <f>IF(AND(YEAR(AprSun1+20)=Year,MONTH(AprSun1+20)=4),AprSun1+20, "")</f>
        <v>45766</v>
      </c>
      <c r="R9" s="1">
        <f>IF(AND(YEAR(JulSun1+14)=Year,MONTH(JulSun1+14)=7),JulSun1+14, "")</f>
        <v>45851</v>
      </c>
      <c r="S9" s="1">
        <f>IF(AND(YEAR(JulSun1+15)=Year,MONTH(JulSun1+15)=7),JulSun1+15, "")</f>
        <v>45852</v>
      </c>
      <c r="T9" s="1">
        <f>IF(AND(YEAR(JulSun1+16)=Year,MONTH(JulSun1+16)=7),JulSun1+16, "")</f>
        <v>45853</v>
      </c>
      <c r="U9" s="1">
        <f>IF(AND(YEAR(JulSun1+17)=Year,MONTH(JulSun1+17)=7),JulSun1+17, "")</f>
        <v>45854</v>
      </c>
      <c r="V9" s="18">
        <f>IF(AND(YEAR(JulSun1+18)=Year,MONTH(JulSun1+18)=7),JulSun1+18, "")</f>
        <v>45855</v>
      </c>
      <c r="W9" s="1">
        <f>IF(AND(YEAR(JulSun1+19)=Year,MONTH(JulSun1+19)=7),JulSun1+19, "")</f>
        <v>45856</v>
      </c>
      <c r="X9" s="1">
        <f>IF(AND(YEAR(JulSun1+20)=Year,MONTH(JulSun1+20)=7),JulSun1+20, "")</f>
        <v>45857</v>
      </c>
      <c r="Z9" s="1">
        <f>IF(AND(YEAR(OctSun1+14)=Year,MONTH(OctSun1+14)=10),OctSun1+14, "")</f>
        <v>45942</v>
      </c>
      <c r="AA9" s="1">
        <f>IF(AND(YEAR(OctSun1+15)=Year,MONTH(OctSun1+15)=10),OctSun1+15, "")</f>
        <v>45943</v>
      </c>
      <c r="AB9" s="1">
        <f>IF(AND(YEAR(OctSun1+16)=Year,MONTH(OctSun1+16)=10),OctSun1+16, "")</f>
        <v>45944</v>
      </c>
      <c r="AC9" s="1">
        <f>IF(AND(YEAR(OctSun1+17)=Year,MONTH(OctSun1+17)=10),OctSun1+17, "")</f>
        <v>45945</v>
      </c>
      <c r="AD9" s="18">
        <f>IF(AND(YEAR(OctSun1+18)=Year,MONTH(OctSun1+18)=10),OctSun1+18, "")</f>
        <v>45946</v>
      </c>
      <c r="AE9" s="1">
        <f>IF(AND(YEAR(OctSun1+19)=Year,MONTH(OctSun1+19)=10),OctSun1+19, "")</f>
        <v>45947</v>
      </c>
      <c r="AF9" s="1">
        <f>IF(AND(YEAR(OctSun1+20)=Year,MONTH(OctSun1+20)=10),OctSun1+20, "")</f>
        <v>45948</v>
      </c>
      <c r="AH9" s="13"/>
      <c r="AI9" s="209" t="s">
        <v>41</v>
      </c>
      <c r="AJ9" s="209"/>
      <c r="AK9" s="209"/>
      <c r="AL9" s="209"/>
    </row>
    <row r="10" spans="2:41" ht="18" customHeight="1" x14ac:dyDescent="0.25">
      <c r="B10" s="1">
        <f>IF(AND(YEAR(JanSun1+21)=Year,MONTH(JanSun1+21)=1),JanSun1+21, "")</f>
        <v>45676</v>
      </c>
      <c r="C10" s="1">
        <f>IF(AND(YEAR(JanSun1+22)=Year,MONTH(JanSun1+22)=1),JanSun1+22, "")</f>
        <v>45677</v>
      </c>
      <c r="D10" s="76">
        <f>IF(AND(YEAR(JanSun1+23)=Year,MONTH(JanSun1+23)=1),JanSun1+23, "")</f>
        <v>45678</v>
      </c>
      <c r="E10" s="9">
        <f>IF(AND(YEAR(JanSun1+24)=Year,MONTH(JanSun1+24)=1),JanSun1+24, "")</f>
        <v>45679</v>
      </c>
      <c r="F10" s="1">
        <f>IF(AND(YEAR(JanSun1+25)=Year,MONTH(JanSun1+25)=1),JanSun1+25, "")</f>
        <v>45680</v>
      </c>
      <c r="G10" s="1">
        <f>IF(AND(YEAR(JanSun1+26)=Year,MONTH(JanSun1+26)=1),JanSun1+26, "")</f>
        <v>45681</v>
      </c>
      <c r="H10" s="1">
        <f>IF(AND(YEAR(JanSun1+27)=Year,MONTH(JanSun1+27)=1),JanSun1+27, "")</f>
        <v>45682</v>
      </c>
      <c r="J10" s="1">
        <f>IF(AND(YEAR(AprSun1+21)=Year,MONTH(AprSun1+21)=4),AprSun1+21, "")</f>
        <v>45767</v>
      </c>
      <c r="K10" s="1">
        <f>IF(AND(YEAR(AprSun1+22)=Year,MONTH(AprSun1+22)=4),AprSun1+22, "")</f>
        <v>45768</v>
      </c>
      <c r="L10" s="19">
        <f>IF(AND(YEAR(AprSun1+23)=Year,MONTH(AprSun1+23)=4),AprSun1+23, "")</f>
        <v>45769</v>
      </c>
      <c r="M10" s="7">
        <f>IF(AND(YEAR(AprSun1+24)=Year,MONTH(AprSun1+24)=4),AprSun1+24, "")</f>
        <v>45770</v>
      </c>
      <c r="N10" s="76">
        <f>IF(AND(YEAR(AprSun1+25)=Year,MONTH(AprSun1+25)=4),AprSun1+25, "")</f>
        <v>45771</v>
      </c>
      <c r="O10" s="1">
        <f>IF(AND(YEAR(AprSun1+26)=Year,MONTH(AprSun1+26)=4),AprSun1+26, "")</f>
        <v>45772</v>
      </c>
      <c r="P10" s="1">
        <f>IF(AND(YEAR(AprSun1+27)=Year,MONTH(AprSun1+27)=4),AprSun1+27, "")</f>
        <v>45773</v>
      </c>
      <c r="R10" s="1">
        <f>IF(AND(YEAR(JulSun1+21)=Year,MONTH(JulSun1+21)=7),JulSun1+21, "")</f>
        <v>45858</v>
      </c>
      <c r="S10" s="76">
        <f>IF(AND(YEAR(JulSun1+22)=Year,MONTH(JulSun1+22)=7),JulSun1+22, "")</f>
        <v>45859</v>
      </c>
      <c r="T10" s="19">
        <f>IF(AND(YEAR(JulSun1+23)=Year,MONTH(JulSun1+23)=7),JulSun1+23, "")</f>
        <v>45860</v>
      </c>
      <c r="U10" s="9">
        <f>IF(AND(YEAR(JulSun1+24)=Year,MONTH(JulSun1+24)=7),JulSun1+24, "")</f>
        <v>45861</v>
      </c>
      <c r="V10" s="76">
        <f>IF(AND(YEAR(JulSun1+25)=Year,MONTH(JulSun1+25)=7),JulSun1+25, "")</f>
        <v>45862</v>
      </c>
      <c r="W10" s="1">
        <f>IF(AND(YEAR(JulSun1+26)=Year,MONTH(JulSun1+26)=7),JulSun1+26, "")</f>
        <v>45863</v>
      </c>
      <c r="X10" s="1">
        <f>IF(AND(YEAR(JulSun1+27)=Year,MONTH(JulSun1+27)=7),JulSun1+27, "")</f>
        <v>45864</v>
      </c>
      <c r="Z10" s="1">
        <f>IF(AND(YEAR(OctSun1+21)=Year,MONTH(OctSun1+21)=10),OctSun1+21, "")</f>
        <v>45949</v>
      </c>
      <c r="AA10" s="1">
        <f>IF(AND(YEAR(OctSun1+22)=Year,MONTH(OctSun1+22)=10),OctSun1+22, "")</f>
        <v>45950</v>
      </c>
      <c r="AB10" s="76">
        <f>IF(AND(YEAR(OctSun1+23)=Year,MONTH(OctSun1+23)=10),OctSun1+23, "")</f>
        <v>45951</v>
      </c>
      <c r="AC10" s="7">
        <f>IF(AND(YEAR(OctSun1+24)=Year,MONTH(OctSun1+24)=10),OctSun1+24, "")</f>
        <v>45952</v>
      </c>
      <c r="AD10" s="1">
        <f>IF(AND(YEAR(OctSun1+25)=Year,MONTH(OctSun1+25)=10),OctSun1+25, "")</f>
        <v>45953</v>
      </c>
      <c r="AE10" s="1">
        <f>IF(AND(YEAR(OctSun1+26)=Year,MONTH(OctSun1+26)=10),OctSun1+26, "")</f>
        <v>45954</v>
      </c>
      <c r="AF10" s="1">
        <f>IF(AND(YEAR(OctSun1+27)=Year,MONTH(OctSun1+27)=10),OctSun1+27, "")</f>
        <v>45955</v>
      </c>
      <c r="AH10" s="14"/>
      <c r="AI10" s="209" t="s">
        <v>51</v>
      </c>
      <c r="AJ10" s="209"/>
      <c r="AK10" s="209"/>
      <c r="AL10" s="209"/>
    </row>
    <row r="11" spans="2:41" ht="18" customHeight="1" x14ac:dyDescent="0.25">
      <c r="B11" s="1">
        <f>IF(AND(YEAR(JanSun1+28)=Year,MONTH(JanSun1+28)=1),JanSun1+28, "")</f>
        <v>45683</v>
      </c>
      <c r="C11" s="1">
        <f>IF(AND(YEAR(JanSun1+29)=Year,MONTH(JanSun1+29)=1),JanSun1+29, "")</f>
        <v>45684</v>
      </c>
      <c r="D11" s="76">
        <f>IF(AND(YEAR(JanSun1+30)=Year,MONTH(JanSun1+30)=1),JanSun1+30, "")</f>
        <v>45685</v>
      </c>
      <c r="E11" s="1">
        <f>IF(AND(YEAR(JanSun1+31)=Year,MONTH(JanSun1+31)=1),JanSun1+31, "")</f>
        <v>45686</v>
      </c>
      <c r="F11" s="1">
        <f>IF(AND(YEAR(JanSun1+32)=Year,MONTH(JanSun1+32)=1),JanSun1+32, "")</f>
        <v>45687</v>
      </c>
      <c r="G11" s="1">
        <f>IF(AND(YEAR(JanSun1+33)=Year,MONTH(JanSun1+33)=1),JanSun1+33, "")</f>
        <v>45688</v>
      </c>
      <c r="H11" s="1" t="str">
        <f>IF(AND(YEAR(JanSun1+34)=Year,MONTH(JanSun1+34)=1),JanSun1+34, "")</f>
        <v/>
      </c>
      <c r="J11" s="1">
        <f>IF(AND(YEAR(AprSun1+28)=Year,MONTH(AprSun1+28)=4),AprSun1+28, "")</f>
        <v>45774</v>
      </c>
      <c r="K11" s="1">
        <f>IF(AND(YEAR(AprSun1+29)=Year,MONTH(AprSun1+29)=4),AprSun1+29, "")</f>
        <v>45775</v>
      </c>
      <c r="L11" s="76">
        <f>IF(AND(YEAR(AprSun1+30)=Year,MONTH(AprSun1+30)=4),AprSun1+30, "")</f>
        <v>45776</v>
      </c>
      <c r="M11" s="76">
        <f>IF(AND(YEAR(AprSun1+31)=Year,MONTH(AprSun1+31)=4),AprSun1+31, "")</f>
        <v>45777</v>
      </c>
      <c r="N11" s="1" t="str">
        <f>IF(AND(YEAR(AprSun1+32)=Year,MONTH(AprSun1+32)=4),AprSun1+32, "")</f>
        <v/>
      </c>
      <c r="O11" s="1" t="str">
        <f>IF(AND(YEAR(AprSun1+33)=Year,MONTH(AprSun1+33)=4),AprSun1+33, "")</f>
        <v/>
      </c>
      <c r="P11" s="1" t="str">
        <f>IF(AND(YEAR(AprSun1+34)=Year,MONTH(AprSun1+34)=4),AprSun1+34, "")</f>
        <v/>
      </c>
      <c r="R11" s="1">
        <f>IF(AND(YEAR(JulSun1+28)=Year,MONTH(JulSun1+28)=7),JulSun1+28, "")</f>
        <v>45865</v>
      </c>
      <c r="S11" s="1">
        <f>IF(AND(YEAR(JulSun1+29)=Year,MONTH(JulSun1+29)=7),JulSun1+29, "")</f>
        <v>45866</v>
      </c>
      <c r="T11" s="76">
        <f>IF(AND(YEAR(JulSun1+30)=Year,MONTH(JulSun1+30)=7),JulSun1+30, "")</f>
        <v>45867</v>
      </c>
      <c r="U11" s="76">
        <f>IF(AND(YEAR(JulSun1+31)=Year,MONTH(JulSun1+31)=7),JulSun1+31, "")</f>
        <v>45868</v>
      </c>
      <c r="V11" s="1">
        <f>IF(AND(YEAR(JulSun1+32)=Year,MONTH(JulSun1+32)=7),JulSun1+32, "")</f>
        <v>45869</v>
      </c>
      <c r="W11" s="1" t="str">
        <f>IF(AND(YEAR(JulSun1+33)=Year,MONTH(JulSun1+33)=7),JulSun1+33, "")</f>
        <v/>
      </c>
      <c r="X11" s="1" t="str">
        <f>IF(AND(YEAR(JulSun1+34)=Year,MONTH(JulSun1+34)=7),JulSun1+34, "")</f>
        <v/>
      </c>
      <c r="Z11" s="1">
        <f>IF(AND(YEAR(OctSun1+28)=Year,MONTH(OctSun1+28)=10),OctSun1+28, "")</f>
        <v>45956</v>
      </c>
      <c r="AA11" s="1">
        <f>IF(AND(YEAR(OctSun1+29)=Year,MONTH(OctSun1+29)=10),OctSun1+29, "")</f>
        <v>45957</v>
      </c>
      <c r="AB11" s="19">
        <f>IF(AND(YEAR(OctSun1+30)=Year,MONTH(OctSun1+30)=10),OctSun1+30, "")</f>
        <v>45958</v>
      </c>
      <c r="AC11" s="1">
        <f>IF(AND(YEAR(OctSun1+31)=Year,MONTH(OctSun1+31)=10),OctSun1+31, "")</f>
        <v>45959</v>
      </c>
      <c r="AD11" s="1">
        <f>IF(AND(YEAR(OctSun1+32)=Year,MONTH(OctSun1+32)=10),OctSun1+32, "")</f>
        <v>45960</v>
      </c>
      <c r="AE11" s="1">
        <f>IF(AND(YEAR(OctSun1+33)=Year,MONTH(OctSun1+33)=10),OctSun1+33, "")</f>
        <v>45961</v>
      </c>
      <c r="AF11" s="1" t="str">
        <f>IF(AND(YEAR(OctSun1+34)=Year,MONTH(OctSun1+34)=10),OctSun1+34, "")</f>
        <v/>
      </c>
      <c r="AH11" s="15"/>
      <c r="AI11" s="209" t="s">
        <v>44</v>
      </c>
      <c r="AJ11" s="209"/>
      <c r="AK11" s="209"/>
      <c r="AL11" s="209"/>
    </row>
    <row r="12" spans="2:41" ht="18" customHeight="1" x14ac:dyDescent="0.25">
      <c r="B12" s="1" t="str">
        <f>IF(AND(YEAR(JanSun1+35)=Year,MONTH(JanSun1+35)=1),JanSun1+35, "")</f>
        <v/>
      </c>
      <c r="C12" s="1" t="str">
        <f>IF(AND(YEAR(JanSun1+36)=Year,MONTH(JanSun1+36)=1),JanSun1+36, "")</f>
        <v/>
      </c>
      <c r="D12" s="1" t="str">
        <f>IF(AND(YEAR(JanSun1+37)=Year,MONTH(JanSun1+37)=1),JanSun1+37, "")</f>
        <v/>
      </c>
      <c r="E12" s="1" t="str">
        <f>IF(AND(YEAR(JanSun1+38)=Year,MONTH(JanSun1+38)=1),JanSun1+38, "")</f>
        <v/>
      </c>
      <c r="F12" s="1" t="str">
        <f>IF(AND(YEAR(JanSun1+39)=Year,MONTH(JanSun1+39)=1),JanSun1+39, "")</f>
        <v/>
      </c>
      <c r="G12" s="1" t="str">
        <f>IF(AND(YEAR(JanSun1+40)=Year,MONTH(JanSun1+40)=1),JanSun1+40, "")</f>
        <v/>
      </c>
      <c r="H12" s="1" t="str">
        <f>IF(AND(YEAR(JanSun1+41)=Year,MONTH(JanSun1+41)=1),JanSun1+41, "")</f>
        <v/>
      </c>
      <c r="J12" s="1" t="str">
        <f>IF(AND(YEAR(AprSun1+35)=Year,MONTH(AprSun1+35)=4),AprSun1+35, "")</f>
        <v/>
      </c>
      <c r="K12" s="1" t="str">
        <f>IF(AND(YEAR(AprSun1+36)=Year,MONTH(AprSun1+36)=4),AprSun1+36, "")</f>
        <v/>
      </c>
      <c r="L12" s="1" t="str">
        <f>IF(AND(YEAR(AprSun1+37)=Year,MONTH(AprSun1+37)=4),AprSun1+37, "")</f>
        <v/>
      </c>
      <c r="M12" s="1" t="str">
        <f>IF(AND(YEAR(AprSun1+38)=Year,MONTH(AprSun1+38)=4),AprSun1+38, "")</f>
        <v/>
      </c>
      <c r="N12" s="1" t="str">
        <f>IF(AND(YEAR(AprSun1+39)=Year,MONTH(AprSun1+39)=4),AprSun1+39, "")</f>
        <v/>
      </c>
      <c r="O12" s="1" t="str">
        <f>IF(AND(YEAR(AprSun1+40)=Year,MONTH(AprSun1+40)=4),AprSun1+40, "")</f>
        <v/>
      </c>
      <c r="P12" s="1" t="str">
        <f>IF(AND(YEAR(AprSun1+41)=Year,MONTH(AprSun1+41)=4),AprSun1+41, "")</f>
        <v/>
      </c>
      <c r="R12" s="1" t="str">
        <f>IF(AND(YEAR(JulSun1+35)=Year,MONTH(JulSun1+35)=7),JulSun1+35, "")</f>
        <v/>
      </c>
      <c r="S12" s="1" t="str">
        <f>IF(AND(YEAR(JulSun1+36)=Year,MONTH(JulSun1+36)=7),JulSun1+36, "")</f>
        <v/>
      </c>
      <c r="T12" s="1" t="str">
        <f>IF(AND(YEAR(JulSun1+37)=Year,MONTH(JulSun1+37)=7),JulSun1+37, "")</f>
        <v/>
      </c>
      <c r="U12" s="1" t="str">
        <f>IF(AND(YEAR(JulSun1+38)=Year,MONTH(JulSun1+38)=7),JulSun1+38, "")</f>
        <v/>
      </c>
      <c r="V12" s="1" t="str">
        <f>IF(AND(YEAR(JulSun1+39)=Year,MONTH(JulSun1+39)=7),JulSun1+39, "")</f>
        <v/>
      </c>
      <c r="W12" s="1" t="str">
        <f>IF(AND(YEAR(JulSun1+40)=Year,MONTH(JulSun1+40)=7),JulSun1+40, "")</f>
        <v/>
      </c>
      <c r="X12" s="1" t="str">
        <f>IF(AND(YEAR(JulSun1+41)=Year,MONTH(JulSun1+41)=7),JulSun1+41, "")</f>
        <v/>
      </c>
      <c r="Z12" s="1" t="str">
        <f>IF(AND(YEAR(OctSun1+35)=Year,MONTH(OctSun1+35)=10),OctSun1+35, "")</f>
        <v/>
      </c>
      <c r="AA12" s="1" t="str">
        <f>IF(AND(YEAR(OctSun1+36)=Year,MONTH(OctSun1+36)=10),OctSun1+36, "")</f>
        <v/>
      </c>
      <c r="AB12" s="1" t="str">
        <f>IF(AND(YEAR(OctSun1+37)=Year,MONTH(OctSun1+37)=10),OctSun1+37, "")</f>
        <v/>
      </c>
      <c r="AC12" s="1" t="str">
        <f>IF(AND(YEAR(OctSun1+38)=Year,MONTH(OctSun1+38)=10),OctSun1+38, "")</f>
        <v/>
      </c>
      <c r="AD12" s="1" t="str">
        <f>IF(AND(YEAR(OctSun1+39)=Year,MONTH(OctSun1+39)=10),OctSun1+39, "")</f>
        <v/>
      </c>
      <c r="AE12" s="1" t="str">
        <f>IF(AND(YEAR(OctSun1+40)=Year,MONTH(OctSun1+40)=10),OctSun1+40, "")</f>
        <v/>
      </c>
      <c r="AF12" s="1" t="str">
        <f>IF(AND(YEAR(OctSun1+41)=Year,MONTH(OctSun1+41)=10),OctSun1+41, "")</f>
        <v/>
      </c>
      <c r="AH12" s="16"/>
      <c r="AI12" s="209" t="s">
        <v>50</v>
      </c>
      <c r="AJ12" s="209"/>
      <c r="AK12" s="209"/>
      <c r="AL12" s="209"/>
    </row>
    <row r="13" spans="2:41" ht="18" customHeight="1" x14ac:dyDescent="0.25">
      <c r="AH13" s="94"/>
      <c r="AI13" s="209" t="s">
        <v>76</v>
      </c>
      <c r="AJ13" s="209"/>
      <c r="AK13" s="209"/>
      <c r="AL13" s="209"/>
    </row>
    <row r="14" spans="2:41" ht="18" customHeight="1" x14ac:dyDescent="0.25">
      <c r="B14" s="311" t="s">
        <v>1</v>
      </c>
      <c r="C14" s="311"/>
      <c r="D14" s="311"/>
      <c r="E14" s="311"/>
      <c r="F14" s="311"/>
      <c r="G14" s="311"/>
      <c r="H14" s="311"/>
      <c r="J14" s="311" t="s">
        <v>4</v>
      </c>
      <c r="K14" s="311"/>
      <c r="L14" s="311"/>
      <c r="M14" s="311"/>
      <c r="N14" s="311"/>
      <c r="O14" s="311"/>
      <c r="P14" s="311"/>
      <c r="R14" s="311" t="s">
        <v>9</v>
      </c>
      <c r="S14" s="311"/>
      <c r="T14" s="311"/>
      <c r="U14" s="311"/>
      <c r="V14" s="311"/>
      <c r="W14" s="311"/>
      <c r="X14" s="311"/>
      <c r="Z14" s="311" t="s">
        <v>10</v>
      </c>
      <c r="AA14" s="311"/>
      <c r="AB14" s="311"/>
      <c r="AC14" s="311"/>
      <c r="AD14" s="311"/>
      <c r="AE14" s="311"/>
      <c r="AF14" s="311"/>
    </row>
    <row r="15" spans="2:41" ht="18" customHeight="1" x14ac:dyDescent="0.25">
      <c r="B15" s="2" t="s">
        <v>12</v>
      </c>
      <c r="C15" s="2" t="s">
        <v>13</v>
      </c>
      <c r="D15" s="2" t="s">
        <v>14</v>
      </c>
      <c r="E15" s="2" t="s">
        <v>15</v>
      </c>
      <c r="F15" s="2" t="s">
        <v>16</v>
      </c>
      <c r="G15" s="2" t="s">
        <v>17</v>
      </c>
      <c r="H15" s="2" t="s">
        <v>18</v>
      </c>
      <c r="J15" s="2" t="s">
        <v>12</v>
      </c>
      <c r="K15" s="2" t="s">
        <v>13</v>
      </c>
      <c r="L15" s="2" t="s">
        <v>14</v>
      </c>
      <c r="M15" s="2" t="s">
        <v>15</v>
      </c>
      <c r="N15" s="2" t="s">
        <v>16</v>
      </c>
      <c r="O15" s="2" t="s">
        <v>17</v>
      </c>
      <c r="P15" s="2" t="s">
        <v>18</v>
      </c>
      <c r="R15" s="2" t="s">
        <v>12</v>
      </c>
      <c r="S15" s="2" t="s">
        <v>13</v>
      </c>
      <c r="T15" s="2" t="s">
        <v>14</v>
      </c>
      <c r="U15" s="2" t="s">
        <v>15</v>
      </c>
      <c r="V15" s="2" t="s">
        <v>16</v>
      </c>
      <c r="W15" s="2" t="s">
        <v>17</v>
      </c>
      <c r="X15" s="2" t="s">
        <v>18</v>
      </c>
      <c r="Z15" s="2" t="s">
        <v>12</v>
      </c>
      <c r="AA15" s="2" t="s">
        <v>13</v>
      </c>
      <c r="AB15" s="2" t="s">
        <v>14</v>
      </c>
      <c r="AC15" s="2" t="s">
        <v>15</v>
      </c>
      <c r="AD15" s="2" t="s">
        <v>16</v>
      </c>
      <c r="AE15" s="2" t="s">
        <v>17</v>
      </c>
      <c r="AF15" s="2" t="s">
        <v>18</v>
      </c>
      <c r="AH15" s="226" t="s">
        <v>68</v>
      </c>
      <c r="AI15" s="226"/>
      <c r="AJ15" s="226"/>
      <c r="AK15" s="226"/>
      <c r="AL15" s="226"/>
    </row>
    <row r="16" spans="2:41" ht="18" customHeight="1" x14ac:dyDescent="0.25">
      <c r="B16" s="1" t="str">
        <f>IF(AND(YEAR(FebSun1)=Year,MONTH(FebSun1)=2),FebSun1, "")</f>
        <v/>
      </c>
      <c r="C16" s="1" t="str">
        <f>IF(AND(YEAR(FebSun1+1)=Year,MONTH(FebSun1+1)=2),FebSun1+1, "")</f>
        <v/>
      </c>
      <c r="D16" s="1" t="str">
        <f>IF(AND(YEAR(FebSun1+2)=Year,MONTH(FebSun1+2)=2),FebSun1+2, "")</f>
        <v/>
      </c>
      <c r="E16" s="1" t="str">
        <f>IF(AND(YEAR(FebSun1+3)=Year,MONTH(FebSun1+3)=2),FebSun1+3, "")</f>
        <v/>
      </c>
      <c r="F16" s="1" t="str">
        <f>IF(AND(YEAR(FebSun1+4)=Year,MONTH(FebSun1+4)=2),FebSun1+4, "")</f>
        <v/>
      </c>
      <c r="G16" s="1" t="str">
        <f>IF(AND(YEAR(FebSun1+5)=Year,MONTH(FebSun1+5)=2),FebSun1+5, "")</f>
        <v/>
      </c>
      <c r="H16" s="1">
        <f>IF(AND(YEAR(FebSun1+6)=Year,MONTH(FebSun1+6)=2),FebSun1+6, "")</f>
        <v>45689</v>
      </c>
      <c r="J16" s="1" t="str">
        <f>IF(AND(YEAR(MaySun1)=Year,MONTH(MaySun1)=5),MaySun1, "")</f>
        <v/>
      </c>
      <c r="K16" s="1" t="str">
        <f>IF(AND(YEAR(MaySun1+1)=Year,MONTH(MaySun1+1)=5),MaySun1+1, "")</f>
        <v/>
      </c>
      <c r="L16" s="1" t="str">
        <f>IF(AND(YEAR(MaySun1+2)=Year,MONTH(MaySun1+2)=5),MaySun1+2, "")</f>
        <v/>
      </c>
      <c r="M16" s="1" t="str">
        <f>IF(AND(YEAR(MaySun1+3)=Year,MONTH(MaySun1+3)=5),MaySun1+3, "")</f>
        <v/>
      </c>
      <c r="N16" s="1">
        <f>IF(AND(YEAR(MaySun1+4)=Year,MONTH(MaySun1+4)=5),MaySun1+4, "")</f>
        <v>45778</v>
      </c>
      <c r="O16" s="1">
        <f>IF(AND(YEAR(MaySun1+5)=Year,MONTH(MaySun1+5)=5),MaySun1+5, "")</f>
        <v>45779</v>
      </c>
      <c r="P16" s="1">
        <f>IF(AND(YEAR(MaySun1+6)=Year,MONTH(MaySun1+6)=5),MaySun1+6, "")</f>
        <v>45780</v>
      </c>
      <c r="R16" s="1" t="str">
        <f>IF(AND(YEAR(AugSun1)=Year,MONTH(AugSun1)=8),AugSun1, "")</f>
        <v/>
      </c>
      <c r="S16" s="1" t="str">
        <f>IF(AND(YEAR(AugSun1+1)=Year,MONTH(AugSun1+1)=8),AugSun1+1, "")</f>
        <v/>
      </c>
      <c r="T16" s="1" t="str">
        <f>IF(AND(YEAR(AugSun1+2)=Year,MONTH(AugSun1+2)=8),AugSun1+2, "")</f>
        <v/>
      </c>
      <c r="U16" s="1" t="str">
        <f>IF(AND(YEAR(AugSun1+3)=Year,MONTH(AugSun1+3)=8),AugSun1+3, "")</f>
        <v/>
      </c>
      <c r="V16" s="1" t="str">
        <f>IF(AND(YEAR(AugSun1+4)=Year,MONTH(AugSun1+4)=8),AugSun1+4, "")</f>
        <v/>
      </c>
      <c r="W16" s="1">
        <f>IF(AND(YEAR(AugSun1+5)=Year,MONTH(AugSun1+5)=8),AugSun1+5, "")</f>
        <v>45870</v>
      </c>
      <c r="X16" s="1">
        <f>IF(AND(YEAR(AugSun1+6)=Year,MONTH(AugSun1+6)=8),AugSun1+6, "")</f>
        <v>45871</v>
      </c>
      <c r="Z16" s="1" t="str">
        <f>IF(AND(YEAR(NovSun1)=Year,MONTH(NovSun1)=11),NovSun1, "")</f>
        <v/>
      </c>
      <c r="AA16" s="1" t="str">
        <f>IF(AND(YEAR(NovSun1+1)=Year,MONTH(NovSun1+1)=11),NovSun1+1, "")</f>
        <v/>
      </c>
      <c r="AB16" s="1" t="str">
        <f>IF(AND(YEAR(NovSun1+2)=Year,MONTH(NovSun1+2)=11),NovSun1+2, "")</f>
        <v/>
      </c>
      <c r="AC16" s="1" t="str">
        <f>IF(AND(YEAR(NovSun1+3)=Year,MONTH(NovSun1+3)=11),NovSun1+3, "")</f>
        <v/>
      </c>
      <c r="AD16" s="1" t="str">
        <f>IF(AND(YEAR(NovSun1+4)=Year,MONTH(NovSun1+4)=11),NovSun1+4, "")</f>
        <v/>
      </c>
      <c r="AE16" s="1" t="str">
        <f>IF(AND(YEAR(NovSun1+5)=Year,MONTH(NovSun1+5)=11),NovSun1+5, "")</f>
        <v/>
      </c>
      <c r="AF16" s="1">
        <f>IF(AND(YEAR(NovSun1+6)=Year,MONTH(NovSun1+6)=11),NovSun1+6, "")</f>
        <v>45962</v>
      </c>
      <c r="AH16" s="226"/>
      <c r="AI16" s="226"/>
      <c r="AJ16" s="226"/>
      <c r="AK16" s="226"/>
      <c r="AL16" s="226"/>
    </row>
    <row r="17" spans="2:42" ht="18" customHeight="1" x14ac:dyDescent="0.25">
      <c r="B17" s="1">
        <f>IF(AND(YEAR(FebSun1+7)=Year,MONTH(FebSun1+7)=2),FebSun1+7, "")</f>
        <v>45690</v>
      </c>
      <c r="C17" s="1">
        <f>IF(AND(YEAR(FebSun1+8)=Year,MONTH(FebSun1+8)=2),FebSun1+8, "")</f>
        <v>45691</v>
      </c>
      <c r="D17" s="1">
        <f>IF(AND(YEAR(FebSun1+9)=Year,MONTH(FebSun1+9)=2),FebSun1+9, "")</f>
        <v>45692</v>
      </c>
      <c r="E17" s="1">
        <f>IF(AND(YEAR(FebSun1+10)=Year,MONTH(FebSun1+10)=2),FebSun1+10, "")</f>
        <v>45693</v>
      </c>
      <c r="F17" s="1">
        <f>IF(AND(YEAR(FebSun1+11)=Year,MONTH(FebSun1+11)=2),FebSun1+11, "")</f>
        <v>45694</v>
      </c>
      <c r="G17" s="1">
        <f>IF(AND(YEAR(FebSun1+12)=Year,MONTH(FebSun1+12)=2),FebSun1+12, "")</f>
        <v>45695</v>
      </c>
      <c r="H17" s="1">
        <f>IF(AND(YEAR(FebSun1+13)=Year,MONTH(FebSun1+13)=2),FebSun1+13, "")</f>
        <v>45696</v>
      </c>
      <c r="J17" s="1">
        <f>IF(AND(YEAR(MaySun1+7)=Year,MONTH(MaySun1+7)=5),MaySun1+7, "")</f>
        <v>45781</v>
      </c>
      <c r="K17" s="1">
        <f>IF(AND(YEAR(MaySun1+8)=Year,MONTH(MaySun1+8)=5),MaySun1+8, "")</f>
        <v>45782</v>
      </c>
      <c r="L17" s="1">
        <f>IF(AND(YEAR(MaySun1+9)=Year,MONTH(MaySun1+9)=5),MaySun1+9, "")</f>
        <v>45783</v>
      </c>
      <c r="M17" s="1">
        <f>IF(AND(YEAR(MaySun1+10)=Year,MONTH(MaySun1+10)=5),MaySun1+10, "")</f>
        <v>45784</v>
      </c>
      <c r="N17" s="1">
        <f>IF(AND(YEAR(MaySun1+11)=Year,MONTH(MaySun1+11)=5),MaySun1+11, "")</f>
        <v>45785</v>
      </c>
      <c r="O17" s="1">
        <f>IF(AND(YEAR(MaySun1+12)=Year,MONTH(MaySun1+12)=5),MaySun1+12, "")</f>
        <v>45786</v>
      </c>
      <c r="P17" s="1">
        <f>IF(AND(YEAR(MaySun1+13)=Year,MONTH(MaySun1+13)=5),MaySun1+13, "")</f>
        <v>45787</v>
      </c>
      <c r="R17" s="1">
        <f>IF(AND(YEAR(AugSun1+7)=Year,MONTH(AugSun1+7)=8),AugSun1+7, "")</f>
        <v>45872</v>
      </c>
      <c r="S17" s="1">
        <f>IF(AND(YEAR(AugSun1+8)=Year,MONTH(AugSun1+8)=8),AugSun1+8, "")</f>
        <v>45873</v>
      </c>
      <c r="T17" s="1">
        <f>IF(AND(YEAR(AugSun1+9)=Year,MONTH(AugSun1+9)=8),AugSun1+9, "")</f>
        <v>45874</v>
      </c>
      <c r="U17" s="1">
        <f>IF(AND(YEAR(AugSun1+10)=Year,MONTH(AugSun1+10)=8),AugSun1+10, "")</f>
        <v>45875</v>
      </c>
      <c r="V17" s="1">
        <f>IF(AND(YEAR(AugSun1+11)=Year,MONTH(AugSun1+11)=8),AugSun1+11, "")</f>
        <v>45876</v>
      </c>
      <c r="W17" s="1">
        <f>IF(AND(YEAR(AugSun1+12)=Year,MONTH(AugSun1+12)=8),AugSun1+12, "")</f>
        <v>45877</v>
      </c>
      <c r="X17" s="1">
        <f>IF(AND(YEAR(AugSun1+13)=Year,MONTH(AugSun1+13)=8),AugSun1+13, "")</f>
        <v>45878</v>
      </c>
      <c r="Z17" s="1">
        <f>IF(AND(YEAR(NovSun1+7)=Year,MONTH(NovSun1+7)=11),NovSun1+7, "")</f>
        <v>45963</v>
      </c>
      <c r="AA17" s="1">
        <f>IF(AND(YEAR(NovSun1+8)=Year,MONTH(NovSun1+8)=11),NovSun1+8, "")</f>
        <v>45964</v>
      </c>
      <c r="AB17" s="1">
        <f>IF(AND(YEAR(NovSun1+9)=Year,MONTH(NovSun1+9)=11),NovSun1+9, "")</f>
        <v>45965</v>
      </c>
      <c r="AC17" s="1">
        <f>IF(AND(YEAR(NovSun1+10)=Year,MONTH(NovSun1+10)=11),NovSun1+10, "")</f>
        <v>45966</v>
      </c>
      <c r="AD17" s="1">
        <f>IF(AND(YEAR(NovSun1+11)=Year,MONTH(NovSun1+11)=11),NovSun1+11, "")</f>
        <v>45967</v>
      </c>
      <c r="AE17" s="1">
        <f>IF(AND(YEAR(NovSun1+12)=Year,MONTH(NovSun1+12)=11),NovSun1+12, "")</f>
        <v>45968</v>
      </c>
      <c r="AF17" s="1">
        <f>IF(AND(YEAR(NovSun1+13)=Year,MONTH(NovSun1+13)=11),NovSun1+13, "")</f>
        <v>45969</v>
      </c>
      <c r="AH17" s="226"/>
      <c r="AI17" s="226"/>
      <c r="AJ17" s="226"/>
      <c r="AK17" s="226"/>
      <c r="AL17" s="226"/>
    </row>
    <row r="18" spans="2:42" ht="18" customHeight="1" x14ac:dyDescent="0.25">
      <c r="B18" s="1">
        <f>IF(AND(YEAR(FebSun1+14)=Year,MONTH(FebSun1+14)=2),FebSun1+14, "")</f>
        <v>45697</v>
      </c>
      <c r="C18" s="1">
        <f>IF(AND(YEAR(FebSun1+15)=Year,MONTH(FebSun1+15)=2),FebSun1+15, "")</f>
        <v>45698</v>
      </c>
      <c r="D18" s="1">
        <f>IF(AND(YEAR(FebSun1+16)=Year,MONTH(FebSun1+16)=2),FebSun1+16, "")</f>
        <v>45699</v>
      </c>
      <c r="E18" s="1">
        <f>IF(AND(YEAR(FebSun1+17)=Year,MONTH(FebSun1+17)=2),FebSun1+17, "")</f>
        <v>45700</v>
      </c>
      <c r="F18" s="1">
        <f>IF(AND(YEAR(FebSun1+18)=Year,MONTH(FebSun1+18)=2),FebSun1+18, "")</f>
        <v>45701</v>
      </c>
      <c r="G18" s="76">
        <f>IF(AND(YEAR(FebSun1+19)=Year,MONTH(FebSun1+19)=2),FebSun1+19, "")</f>
        <v>45702</v>
      </c>
      <c r="H18" s="1">
        <f>IF(AND(YEAR(FebSun1+20)=Year,MONTH(FebSun1+20)=2),FebSun1+20, "")</f>
        <v>45703</v>
      </c>
      <c r="J18" s="1">
        <f>IF(AND(YEAR(MaySun1+14)=Year,MONTH(MaySun1+14)=5),MaySun1+14, "")</f>
        <v>45788</v>
      </c>
      <c r="K18" s="1">
        <f>IF(AND(YEAR(MaySun1+15)=Year,MONTH(MaySun1+15)=5),MaySun1+15, "")</f>
        <v>45789</v>
      </c>
      <c r="L18" s="1">
        <f>IF(AND(YEAR(MaySun1+16)=Year,MONTH(MaySun1+16)=5),MaySun1+16, "")</f>
        <v>45790</v>
      </c>
      <c r="M18" s="1">
        <f>IF(AND(YEAR(MaySun1+17)=Year,MONTH(MaySun1+17)=5),MaySun1+17, "")</f>
        <v>45791</v>
      </c>
      <c r="N18" s="1">
        <f>IF(AND(YEAR(MaySun1+18)=Year,MONTH(MaySun1+18)=5),MaySun1+18, "")</f>
        <v>45792</v>
      </c>
      <c r="O18" s="76">
        <f>IF(AND(YEAR(MaySun1+19)=Year,MONTH(MaySun1+19)=5),MaySun1+19, "")</f>
        <v>45793</v>
      </c>
      <c r="P18" s="1">
        <f>IF(AND(YEAR(MaySun1+20)=Year,MONTH(MaySun1+20)=5),MaySun1+20, "")</f>
        <v>45794</v>
      </c>
      <c r="R18" s="1">
        <f>IF(AND(YEAR(AugSun1+14)=Year,MONTH(AugSun1+14)=8),AugSun1+14, "")</f>
        <v>45879</v>
      </c>
      <c r="S18" s="1">
        <f>IF(AND(YEAR(AugSun1+15)=Year,MONTH(AugSun1+15)=8),AugSun1+15, "")</f>
        <v>45880</v>
      </c>
      <c r="T18" s="1">
        <f>IF(AND(YEAR(AugSun1+16)=Year,MONTH(AugSun1+16)=8),AugSun1+16, "")</f>
        <v>45881</v>
      </c>
      <c r="U18" s="1">
        <f>IF(AND(YEAR(AugSun1+17)=Year,MONTH(AugSun1+17)=8),AugSun1+17, "")</f>
        <v>45882</v>
      </c>
      <c r="V18" s="1">
        <f>IF(AND(YEAR(AugSun1+18)=Year,MONTH(AugSun1+18)=8),AugSun1+18, "")</f>
        <v>45883</v>
      </c>
      <c r="W18" s="17">
        <f>IF(AND(YEAR(AugSun1+19)=Year,MONTH(AugSun1+19)=8),AugSun1+19, "")</f>
        <v>45884</v>
      </c>
      <c r="X18" s="1">
        <f>IF(AND(YEAR(AugSun1+20)=Year,MONTH(AugSun1+20)=8),AugSun1+20, "")</f>
        <v>45885</v>
      </c>
      <c r="Z18" s="1">
        <f>IF(AND(YEAR(NovSun1+14)=Year,MONTH(NovSun1+14)=11),NovSun1+14, "")</f>
        <v>45970</v>
      </c>
      <c r="AA18" s="1">
        <f>IF(AND(YEAR(NovSun1+15)=Year,MONTH(NovSun1+15)=11),NovSun1+15, "")</f>
        <v>45971</v>
      </c>
      <c r="AB18" s="1">
        <f>IF(AND(YEAR(NovSun1+16)=Year,MONTH(NovSun1+16)=11),NovSun1+16, "")</f>
        <v>45972</v>
      </c>
      <c r="AC18" s="1">
        <f>IF(AND(YEAR(NovSun1+17)=Year,MONTH(NovSun1+17)=11),NovSun1+17, "")</f>
        <v>45973</v>
      </c>
      <c r="AD18" s="1">
        <f>IF(AND(YEAR(NovSun1+18)=Year,MONTH(NovSun1+18)=11),NovSun1+18, "")</f>
        <v>45974</v>
      </c>
      <c r="AE18" s="76">
        <f>IF(AND(YEAR(NovSun1+19)=Year,MONTH(NovSun1+19)=11),NovSun1+19, "")</f>
        <v>45975</v>
      </c>
      <c r="AF18" s="1">
        <f>IF(AND(YEAR(NovSun1+20)=Year,MONTH(NovSun1+20)=11),NovSun1+20, "")</f>
        <v>45976</v>
      </c>
      <c r="AH18" s="226"/>
      <c r="AI18" s="226"/>
      <c r="AJ18" s="226"/>
      <c r="AK18" s="226"/>
      <c r="AL18" s="226"/>
      <c r="AP18" s="6"/>
    </row>
    <row r="19" spans="2:42" ht="18" customHeight="1" x14ac:dyDescent="0.25">
      <c r="B19" s="1">
        <f>IF(AND(YEAR(FebSun1+21)=Year,MONTH(FebSun1+21)=2),FebSun1+21, "")</f>
        <v>45704</v>
      </c>
      <c r="C19" s="1">
        <f>IF(AND(YEAR(FebSun1+22)=Year,MONTH(FebSun1+22)=2),FebSun1+22, "")</f>
        <v>45705</v>
      </c>
      <c r="D19" s="1">
        <f>IF(AND(YEAR(FebSun1+23)=Year,MONTH(FebSun1+23)=2),FebSun1+23, "")</f>
        <v>45706</v>
      </c>
      <c r="E19" s="76">
        <f>IF(AND(YEAR(FebSun1+24)=Year,MONTH(FebSun1+24)=2),FebSun1+24, "")</f>
        <v>45707</v>
      </c>
      <c r="F19" s="1">
        <f>IF(AND(YEAR(FebSun1+25)=Year,MONTH(FebSun1+25)=2),FebSun1+25, "")</f>
        <v>45708</v>
      </c>
      <c r="G19" s="76">
        <f>IF(AND(YEAR(FebSun1+26)=Year,MONTH(FebSun1+26)=2),FebSun1+26, "")</f>
        <v>45709</v>
      </c>
      <c r="H19" s="1">
        <f>IF(AND(YEAR(FebSun1+27)=Year,MONTH(FebSun1+27)=2),FebSun1+27, "")</f>
        <v>45710</v>
      </c>
      <c r="J19" s="1">
        <f>IF(AND(YEAR(MaySun1+21)=Year,MONTH(MaySun1+21)=5),MaySun1+21, "")</f>
        <v>45795</v>
      </c>
      <c r="K19" s="1">
        <f>IF(AND(YEAR(MaySun1+22)=Year,MONTH(MaySun1+22)=5),MaySun1+22, "")</f>
        <v>45796</v>
      </c>
      <c r="L19" s="76">
        <f>IF(AND(YEAR(MaySun1+23)=Year,MONTH(MaySun1+23)=5),MaySun1+23, "")</f>
        <v>45797</v>
      </c>
      <c r="M19" s="76">
        <f>IF(AND(YEAR(MaySun1+24)=Year,MONTH(MaySun1+24)=5),MaySun1+24, "")</f>
        <v>45798</v>
      </c>
      <c r="N19" s="1">
        <f>IF(AND(YEAR(MaySun1+25)=Year,MONTH(MaySun1+25)=5),MaySun1+25, "")</f>
        <v>45799</v>
      </c>
      <c r="O19" s="1">
        <f>IF(AND(YEAR(MaySun1+26)=Year,MONTH(MaySun1+26)=5),MaySun1+26, "")</f>
        <v>45800</v>
      </c>
      <c r="P19" s="1">
        <f>IF(AND(YEAR(MaySun1+27)=Year,MONTH(MaySun1+27)=5),MaySun1+27, "")</f>
        <v>45801</v>
      </c>
      <c r="R19" s="1">
        <f>IF(AND(YEAR(AugSun1+21)=Year,MONTH(AugSun1+21)=8),AugSun1+21, "")</f>
        <v>45886</v>
      </c>
      <c r="S19" s="1">
        <f>IF(AND(YEAR(AugSun1+22)=Year,MONTH(AugSun1+22)=8),AugSun1+22, "")</f>
        <v>45887</v>
      </c>
      <c r="T19" s="76">
        <f>IF(AND(YEAR(AugSun1+23)=Year,MONTH(AugSun1+23)=8),AugSun1+23, "")</f>
        <v>45888</v>
      </c>
      <c r="U19" s="76">
        <f>IF(AND(YEAR(AugSun1+24)=Year,MONTH(AugSun1+24)=8),AugSun1+24, "")</f>
        <v>45889</v>
      </c>
      <c r="V19" s="1">
        <f>IF(AND(YEAR(AugSun1+25)=Year,MONTH(AugSun1+25)=8),AugSun1+25, "")</f>
        <v>45890</v>
      </c>
      <c r="W19" s="1">
        <f>IF(AND(YEAR(AugSun1+26)=Year,MONTH(AugSun1+26)=8),AugSun1+26, "")</f>
        <v>45891</v>
      </c>
      <c r="X19" s="1">
        <f>IF(AND(YEAR(AugSun1+27)=Year,MONTH(AugSun1+27)=8),AugSun1+27, "")</f>
        <v>45892</v>
      </c>
      <c r="Z19" s="1">
        <f>IF(AND(YEAR(NovSun1+21)=Year,MONTH(NovSun1+21)=11),NovSun1+21, "")</f>
        <v>45977</v>
      </c>
      <c r="AA19" s="76">
        <f>IF(AND(YEAR(NovSun1+22)=Year,MONTH(NovSun1+22)=11),NovSun1+22, "")</f>
        <v>45978</v>
      </c>
      <c r="AB19" s="1">
        <f>IF(AND(YEAR(NovSun1+23)=Year,MONTH(NovSun1+23)=11),NovSun1+23, "")</f>
        <v>45979</v>
      </c>
      <c r="AC19" s="76">
        <f>IF(AND(YEAR(NovSun1+24)=Year,MONTH(NovSun1+24)=11),NovSun1+24, "")</f>
        <v>45980</v>
      </c>
      <c r="AD19" s="1">
        <f>IF(AND(YEAR(NovSun1+25)=Year,MONTH(NovSun1+25)=11),NovSun1+25, "")</f>
        <v>45981</v>
      </c>
      <c r="AE19" s="17">
        <f>IF(AND(YEAR(NovSun1+26)=Year,MONTH(NovSun1+26)=11),NovSun1+26, "")</f>
        <v>45982</v>
      </c>
      <c r="AF19" s="1">
        <f>IF(AND(YEAR(NovSun1+27)=Year,MONTH(NovSun1+27)=11),NovSun1+27, "")</f>
        <v>45983</v>
      </c>
      <c r="AH19" s="226"/>
      <c r="AI19" s="226"/>
      <c r="AJ19" s="226"/>
      <c r="AK19" s="226"/>
      <c r="AL19" s="226"/>
    </row>
    <row r="20" spans="2:42" ht="18" customHeight="1" x14ac:dyDescent="0.25">
      <c r="B20" s="1">
        <f>IF(AND(YEAR(FebSun1+28)=Year,MONTH(FebSun1+28)=2),FebSun1+28, "")</f>
        <v>45711</v>
      </c>
      <c r="C20" s="1">
        <f>IF(AND(YEAR(FebSun1+29)=Year,MONTH(FebSun1+29)=2),FebSun1+29, "")</f>
        <v>45712</v>
      </c>
      <c r="D20" s="19">
        <f>IF(AND(YEAR(FebSun1+30)=Year,MONTH(FebSun1+30)=2),FebSun1+30, "")</f>
        <v>45713</v>
      </c>
      <c r="E20" s="7">
        <f>IF(AND(YEAR(FebSun1+31)=Year,MONTH(FebSun1+31)=2),FebSun1+31, "")</f>
        <v>45714</v>
      </c>
      <c r="F20" s="1">
        <f>IF(AND(YEAR(FebSun1+32)=Year,MONTH(FebSun1+32)=2),FebSun1+32, "")</f>
        <v>45715</v>
      </c>
      <c r="G20" s="106">
        <f>IF(AND(YEAR(FebSun1+33)=Year,MONTH(FebSun1+33)=2),FebSun1+33, "")</f>
        <v>45716</v>
      </c>
      <c r="H20" s="1" t="str">
        <f>IF(AND(YEAR(FebSun1+34)=Year,MONTH(FebSun1+34)=2),FebSun1+34, "")</f>
        <v/>
      </c>
      <c r="J20" s="1">
        <f>IF(AND(YEAR(MaySun1+28)=Year,MONTH(MaySun1+28)=5),MaySun1+28, "")</f>
        <v>45802</v>
      </c>
      <c r="K20" s="1">
        <f>IF(AND(YEAR(MaySun1+29)=Year,MONTH(MaySun1+29)=5),MaySun1+29, "")</f>
        <v>45803</v>
      </c>
      <c r="L20" s="19">
        <f>IF(AND(YEAR(MaySun1+30)=Year,MONTH(MaySun1+30)=5),MaySun1+30, "")</f>
        <v>45804</v>
      </c>
      <c r="M20" s="9">
        <f>IF(AND(YEAR(MaySun1+31)=Year,MONTH(MaySun1+31)=5),MaySun1+31, "")</f>
        <v>45805</v>
      </c>
      <c r="N20" s="1">
        <f>IF(AND(YEAR(MaySun1+32)=Year,MONTH(MaySun1+32)=5),MaySun1+32, "")</f>
        <v>45806</v>
      </c>
      <c r="O20" s="1">
        <f>IF(AND(YEAR(MaySun1+33)=Year,MONTH(MaySun1+33)=5),MaySun1+33, "")</f>
        <v>45807</v>
      </c>
      <c r="P20" s="1">
        <f>IF(AND(YEAR(MaySun1+34)=Year,MONTH(MaySun1+34)=5),MaySun1+34, "")</f>
        <v>45808</v>
      </c>
      <c r="R20" s="1">
        <f>IF(AND(YEAR(AugSun1+28)=Year,MONTH(AugSun1+28)=8),AugSun1+28, "")</f>
        <v>45893</v>
      </c>
      <c r="S20" s="1">
        <f>IF(AND(YEAR(AugSun1+29)=Year,MONTH(AugSun1+29)=8),AugSun1+29, "")</f>
        <v>45894</v>
      </c>
      <c r="T20" s="19">
        <f>IF(AND(YEAR(AugSun1+30)=Year,MONTH(AugSun1+30)=8),AugSun1+30, "")</f>
        <v>45895</v>
      </c>
      <c r="U20" s="7">
        <f>IF(AND(YEAR(AugSun1+31)=Year,MONTH(AugSun1+31)=8),AugSun1+31, "")</f>
        <v>45896</v>
      </c>
      <c r="V20" s="1">
        <f>IF(AND(YEAR(AugSun1+32)=Year,MONTH(AugSun1+32)=8),AugSun1+32, "")</f>
        <v>45897</v>
      </c>
      <c r="W20" s="1">
        <f>IF(AND(YEAR(AugSun1+33)=Year,MONTH(AugSun1+33)=8),AugSun1+33, "")</f>
        <v>45898</v>
      </c>
      <c r="X20" s="1">
        <f>IF(AND(YEAR(AugSun1+34)=Year,MONTH(AugSun1+34)=8),AugSun1+34, "")</f>
        <v>45899</v>
      </c>
      <c r="Z20" s="1">
        <f>IF(AND(YEAR(NovSun1+28)=Year,MONTH(NovSun1+28)=11),NovSun1+28, "")</f>
        <v>45984</v>
      </c>
      <c r="AA20" s="93">
        <f>IF(AND(YEAR(NovSun1+29)=Year,MONTH(NovSun1+29)=11),NovSun1+29, "")</f>
        <v>45985</v>
      </c>
      <c r="AB20" s="76">
        <f>IF(AND(YEAR(NovSun1+30)=Year,MONTH(NovSun1+30)=11),NovSun1+30, "")</f>
        <v>45986</v>
      </c>
      <c r="AC20" s="76">
        <f>IF(AND(YEAR(NovSun1+31)=Year,MONTH(NovSun1+31)=11),NovSun1+31, "")</f>
        <v>45987</v>
      </c>
      <c r="AD20" s="1">
        <f>IF(AND(YEAR(NovSun1+32)=Year,MONTH(NovSun1+32)=11),NovSun1+32, "")</f>
        <v>45988</v>
      </c>
      <c r="AE20" s="1">
        <f>IF(AND(YEAR(NovSun1+33)=Year,MONTH(NovSun1+33)=11),NovSun1+33, "")</f>
        <v>45989</v>
      </c>
      <c r="AF20" s="1">
        <f>IF(AND(YEAR(NovSun1+34)=Year,MONTH(NovSun1+34)=11),NovSun1+34, "")</f>
        <v>45990</v>
      </c>
      <c r="AH20" s="226"/>
      <c r="AI20" s="226"/>
      <c r="AJ20" s="226"/>
      <c r="AK20" s="226"/>
      <c r="AL20" s="226"/>
    </row>
    <row r="21" spans="2:42" ht="18" customHeight="1" x14ac:dyDescent="0.25">
      <c r="B21" s="1" t="str">
        <f>IF(AND(YEAR(FebSun1+35)=Year,MONTH(FebSun1+35)=2),FebSun1+35, "")</f>
        <v/>
      </c>
      <c r="C21" s="1" t="str">
        <f>IF(AND(YEAR(FebSun1+36)=Year,MONTH(FebSun1+36)=2),FebSun1+36, "")</f>
        <v/>
      </c>
      <c r="D21" s="1" t="str">
        <f>IF(AND(YEAR(FebSun1+37)=Year,MONTH(FebSun1+37)=2),FebSun1+37, "")</f>
        <v/>
      </c>
      <c r="E21" s="1" t="str">
        <f>IF(AND(YEAR(FebSun1+38)=Year,MONTH(FebSun1+38)=2),FebSun1+38, "")</f>
        <v/>
      </c>
      <c r="F21" s="1" t="str">
        <f>IF(AND(YEAR(FebSun1+39)=Year,MONTH(FebSun1+39)=2),FebSun1+39, "")</f>
        <v/>
      </c>
      <c r="G21" s="1" t="str">
        <f>IF(AND(YEAR(FebSun1+40)=Year,MONTH(FebSun1+40)=2),FebSun1+40, "")</f>
        <v/>
      </c>
      <c r="H21" s="1" t="str">
        <f>IF(AND(YEAR(FebSun1+41)=Year,MONTH(FebSun1+41)=2),FebSun1+41, "")</f>
        <v/>
      </c>
      <c r="J21" s="1" t="str">
        <f>IF(AND(YEAR(MaySun1+35)=Year,MONTH(MaySun1+35)=5),MaySun1+35, "")</f>
        <v/>
      </c>
      <c r="K21" s="1" t="str">
        <f>IF(AND(YEAR(MaySun1+36)=Year,MONTH(MaySun1+36)=5),MaySun1+36, "")</f>
        <v/>
      </c>
      <c r="L21" s="1" t="str">
        <f>IF(AND(YEAR(MaySun1+37)=Year,MONTH(MaySun1+37)=5),MaySun1+37, "")</f>
        <v/>
      </c>
      <c r="M21" s="1" t="str">
        <f>IF(AND(YEAR(MaySun1+38)=Year,MONTH(MaySun1+38)=5),MaySun1+38, "")</f>
        <v/>
      </c>
      <c r="N21" s="1" t="str">
        <f>IF(AND(YEAR(MaySun1+39)=Year,MONTH(MaySun1+39)=5),MaySun1+39, "")</f>
        <v/>
      </c>
      <c r="O21" s="1" t="str">
        <f>IF(AND(YEAR(MaySun1+40)=Year,MONTH(MaySun1+40)=5),MaySun1+40, "")</f>
        <v/>
      </c>
      <c r="P21" s="1" t="str">
        <f>IF(AND(YEAR(MaySun1+41)=Year,MONTH(MaySun1+41)=5),MaySun1+41, "")</f>
        <v/>
      </c>
      <c r="R21" s="1">
        <f>IF(AND(YEAR(AugSun1+35)=Year,MONTH(AugSun1+35)=8),AugSun1+35, "")</f>
        <v>45900</v>
      </c>
      <c r="S21" s="1" t="str">
        <f>IF(AND(YEAR(AugSun1+36)=Year,MONTH(AugSun1+36)=8),AugSun1+36, "")</f>
        <v/>
      </c>
      <c r="T21" s="1" t="str">
        <f>IF(AND(YEAR(AugSun1+37)=Year,MONTH(AugSun1+37)=8),AugSun1+37, "")</f>
        <v/>
      </c>
      <c r="U21" s="1" t="str">
        <f>IF(AND(YEAR(AugSun1+38)=Year,MONTH(AugSun1+38)=8),AugSun1+38, "")</f>
        <v/>
      </c>
      <c r="V21" s="1" t="str">
        <f>IF(AND(YEAR(AugSun1+39)=Year,MONTH(AugSun1+39)=8),AugSun1+39, "")</f>
        <v/>
      </c>
      <c r="W21" s="1" t="str">
        <f>IF(AND(YEAR(AugSun1+40)=Year,MONTH(AugSun1+40)=8),AugSun1+40, "")</f>
        <v/>
      </c>
      <c r="X21" s="1" t="str">
        <f>IF(AND(YEAR(AugSun1+41)=Year,MONTH(AugSun1+41)=8),AugSun1+41, "")</f>
        <v/>
      </c>
      <c r="Z21" s="1">
        <f>IF(AND(YEAR(NovSun1+35)=Year,MONTH(NovSun1+35)=11),NovSun1+35, "")</f>
        <v>45991</v>
      </c>
      <c r="AA21" s="1" t="str">
        <f>IF(AND(YEAR(NovSun1+36)=Year,MONTH(NovSun1+36)=11),NovSun1+36, "")</f>
        <v/>
      </c>
      <c r="AB21" s="1" t="str">
        <f>IF(AND(YEAR(NovSun1+37)=Year,MONTH(NovSun1+37)=11),NovSun1+37, "")</f>
        <v/>
      </c>
      <c r="AC21" s="1" t="str">
        <f>IF(AND(YEAR(NovSun1+38)=Year,MONTH(NovSun1+38)=11),NovSun1+38, "")</f>
        <v/>
      </c>
      <c r="AD21" s="1" t="str">
        <f>IF(AND(YEAR(NovSun1+39)=Year,MONTH(NovSun1+39)=11),NovSun1+39, "")</f>
        <v/>
      </c>
      <c r="AE21" s="1" t="str">
        <f>IF(AND(YEAR(NovSun1+40)=Year,MONTH(NovSun1+40)=11),NovSun1+40, "")</f>
        <v/>
      </c>
      <c r="AF21" s="1" t="str">
        <f>IF(AND(YEAR(NovSun1+41)=Year,MONTH(NovSun1+41)=11),NovSun1+41, "")</f>
        <v/>
      </c>
      <c r="AH21" s="226"/>
      <c r="AI21" s="226"/>
      <c r="AJ21" s="226"/>
      <c r="AK21" s="226"/>
      <c r="AL21" s="226"/>
    </row>
    <row r="23" spans="2:42" ht="18" customHeight="1" x14ac:dyDescent="0.25">
      <c r="B23" s="311" t="s">
        <v>2</v>
      </c>
      <c r="C23" s="311"/>
      <c r="D23" s="311"/>
      <c r="E23" s="311"/>
      <c r="F23" s="311"/>
      <c r="G23" s="311"/>
      <c r="H23" s="311"/>
      <c r="J23" s="311" t="s">
        <v>5</v>
      </c>
      <c r="K23" s="311"/>
      <c r="L23" s="311"/>
      <c r="M23" s="311"/>
      <c r="N23" s="311"/>
      <c r="O23" s="311"/>
      <c r="P23" s="311"/>
      <c r="R23" s="311" t="s">
        <v>7</v>
      </c>
      <c r="S23" s="311"/>
      <c r="T23" s="311"/>
      <c r="U23" s="311"/>
      <c r="V23" s="311"/>
      <c r="W23" s="311"/>
      <c r="X23" s="311"/>
      <c r="Z23" s="311" t="s">
        <v>11</v>
      </c>
      <c r="AA23" s="311"/>
      <c r="AB23" s="311"/>
      <c r="AC23" s="311"/>
      <c r="AD23" s="311"/>
      <c r="AE23" s="311"/>
      <c r="AF23" s="311"/>
      <c r="AH23" s="92"/>
    </row>
    <row r="24" spans="2:42" ht="18" customHeight="1" x14ac:dyDescent="0.25">
      <c r="B24" s="2" t="s">
        <v>12</v>
      </c>
      <c r="C24" s="2" t="s">
        <v>13</v>
      </c>
      <c r="D24" s="2" t="s">
        <v>14</v>
      </c>
      <c r="E24" s="2" t="s">
        <v>15</v>
      </c>
      <c r="F24" s="2" t="s">
        <v>16</v>
      </c>
      <c r="G24" s="2" t="s">
        <v>17</v>
      </c>
      <c r="H24" s="2" t="s">
        <v>18</v>
      </c>
      <c r="J24" s="2" t="s">
        <v>12</v>
      </c>
      <c r="K24" s="2" t="s">
        <v>13</v>
      </c>
      <c r="L24" s="2" t="s">
        <v>14</v>
      </c>
      <c r="M24" s="2" t="s">
        <v>15</v>
      </c>
      <c r="N24" s="2" t="s">
        <v>16</v>
      </c>
      <c r="O24" s="2" t="s">
        <v>17</v>
      </c>
      <c r="P24" s="2" t="s">
        <v>18</v>
      </c>
      <c r="R24" s="2" t="s">
        <v>12</v>
      </c>
      <c r="S24" s="2" t="s">
        <v>13</v>
      </c>
      <c r="T24" s="2" t="s">
        <v>14</v>
      </c>
      <c r="U24" s="2" t="s">
        <v>15</v>
      </c>
      <c r="V24" s="2" t="s">
        <v>16</v>
      </c>
      <c r="W24" s="2" t="s">
        <v>17</v>
      </c>
      <c r="X24" s="2" t="s">
        <v>18</v>
      </c>
      <c r="Z24" s="2" t="s">
        <v>12</v>
      </c>
      <c r="AA24" s="2" t="s">
        <v>13</v>
      </c>
      <c r="AB24" s="2" t="s">
        <v>14</v>
      </c>
      <c r="AC24" s="2" t="s">
        <v>15</v>
      </c>
      <c r="AD24" s="2" t="s">
        <v>16</v>
      </c>
      <c r="AE24" s="2" t="s">
        <v>17</v>
      </c>
      <c r="AF24" s="2" t="s">
        <v>18</v>
      </c>
      <c r="AH24" s="78"/>
    </row>
    <row r="25" spans="2:42" ht="18" customHeight="1" x14ac:dyDescent="0.25">
      <c r="B25" s="1" t="str">
        <f>IF(AND(YEAR(MarSun1)=Year,MONTH(MarSun1)=3),MarSun1, "")</f>
        <v/>
      </c>
      <c r="C25" s="1" t="str">
        <f>IF(AND(YEAR(MarSun1+1)=Year,MONTH(MarSun1+1)=3),MarSun1+1, "")</f>
        <v/>
      </c>
      <c r="D25" s="1" t="str">
        <f>IF(AND(YEAR(MarSun1+2)=Year,MONTH(MarSun1+2)=3),MarSun1+2, "")</f>
        <v/>
      </c>
      <c r="E25" s="1" t="str">
        <f>IF(AND(YEAR(MarSun1+3)=Year,MONTH(MarSun1+3)=3),MarSun1+3, "")</f>
        <v/>
      </c>
      <c r="F25" s="1" t="str">
        <f>IF(AND(YEAR(MarSun1+4)=Year,MONTH(MarSun1+4)=3),MarSun1+4, "")</f>
        <v/>
      </c>
      <c r="G25" s="1" t="str">
        <f>IF(AND(YEAR(MarSun1+5)=Year,MONTH(MarSun1+5)=3),MarSun1+5, "")</f>
        <v/>
      </c>
      <c r="H25" s="1">
        <f>IF(AND(YEAR(MarSun1+6)=Year,MONTH(MarSun1+6)=3),MarSun1+6, "")</f>
        <v>45717</v>
      </c>
      <c r="J25" s="1">
        <f>IF(AND(YEAR(JunSun1)=Year,MONTH(JunSun1)=6),JunSun1, "")</f>
        <v>45809</v>
      </c>
      <c r="K25" s="1">
        <f>IF(AND(YEAR(JunSun1+1)=Year,MONTH(JunSun1+1)=6),JunSun1+1, "")</f>
        <v>45810</v>
      </c>
      <c r="L25" s="1">
        <f>IF(AND(YEAR(JunSun1+2)=Year,MONTH(JunSun1+2)=6),JunSun1+2, "")</f>
        <v>45811</v>
      </c>
      <c r="M25" s="1">
        <f>IF(AND(YEAR(JunSun1+3)=Year,MONTH(JunSun1+3)=6),JunSun1+3, "")</f>
        <v>45812</v>
      </c>
      <c r="N25" s="1">
        <f>IF(AND(YEAR(JunSun1+4)=Year,MONTH(JunSun1+4)=6),JunSun1+4, "")</f>
        <v>45813</v>
      </c>
      <c r="O25" s="1">
        <f>IF(AND(YEAR(JunSun1+5)=Year,MONTH(JunSun1+5)=6),JunSun1+5, "")</f>
        <v>45814</v>
      </c>
      <c r="P25" s="1">
        <f>IF(AND(YEAR(JunSun1+6)=Year,MONTH(JunSun1+6)=6),JunSun1+6, "")</f>
        <v>45815</v>
      </c>
      <c r="R25" s="1" t="str">
        <f>IF(AND(YEAR(SepSun1)=Year,MONTH(SepSun1)=9),SepSun1, "")</f>
        <v/>
      </c>
      <c r="S25" s="1">
        <f>IF(AND(YEAR(SepSun1+1)=Year,MONTH(SepSun1+1)=9),SepSun1+1, "")</f>
        <v>45901</v>
      </c>
      <c r="T25" s="1">
        <f>IF(AND(YEAR(SepSun1+2)=Year,MONTH(SepSun1+2)=9),SepSun1+2, "")</f>
        <v>45902</v>
      </c>
      <c r="U25" s="1">
        <f>IF(AND(YEAR(SepSun1+3)=Year,MONTH(SepSun1+3)=9),SepSun1+3, "")</f>
        <v>45903</v>
      </c>
      <c r="V25" s="9">
        <f>IF(AND(YEAR(SepSun1+4)=Year,MONTH(SepSun1+4)=9),SepSun1+4, "")</f>
        <v>45904</v>
      </c>
      <c r="W25" s="1">
        <f>IF(AND(YEAR(SepSun1+5)=Year,MONTH(SepSun1+5)=9),SepSun1+5, "")</f>
        <v>45905</v>
      </c>
      <c r="X25" s="1">
        <f>IF(AND(YEAR(SepSun1+6)=Year,MONTH(SepSun1+6)=9),SepSun1+6, "")</f>
        <v>45906</v>
      </c>
      <c r="Z25" s="1" t="str">
        <f>IF(AND(YEAR(DecSun1)=Year,MONTH(DecSun1)=12),DecSun1, "")</f>
        <v/>
      </c>
      <c r="AA25" s="1">
        <f>IF(AND(YEAR(DecSun1+1)=Year,MONTH(DecSun1+1)=12),DecSun1+1, "")</f>
        <v>45992</v>
      </c>
      <c r="AB25" s="19">
        <f>IF(AND(YEAR(DecSun1+2)=Year,MONTH(DecSun1+2)=12),DecSun1+2, "")</f>
        <v>45993</v>
      </c>
      <c r="AC25" s="1">
        <f>IF(AND(YEAR(DecSun1+3)=Year,MONTH(DecSun1+3)=12),DecSun1+3, "")</f>
        <v>45994</v>
      </c>
      <c r="AD25" s="1">
        <f>IF(AND(YEAR(DecSun1+4)=Year,MONTH(DecSun1+4)=12),DecSun1+4, "")</f>
        <v>45995</v>
      </c>
      <c r="AE25" s="1">
        <f>IF(AND(YEAR(DecSun1+5)=Year,MONTH(DecSun1+5)=12),DecSun1+5, "")</f>
        <v>45996</v>
      </c>
      <c r="AF25" s="1">
        <f>IF(AND(YEAR(DecSun1+6)=Year,MONTH(DecSun1+6)=12),DecSun1+6, "")</f>
        <v>45997</v>
      </c>
    </row>
    <row r="26" spans="2:42" ht="18" customHeight="1" x14ac:dyDescent="0.25">
      <c r="B26" s="1">
        <f>IF(AND(YEAR(MarSun1+7)=Year,MONTH(MarSun1+7)=3),MarSun1+7, "")</f>
        <v>45718</v>
      </c>
      <c r="C26" s="1">
        <f>IF(AND(YEAR(MarSun1+8)=Year,MONTH(MarSun1+8)=3),MarSun1+8, "")</f>
        <v>45719</v>
      </c>
      <c r="D26" s="1">
        <f>IF(AND(YEAR(MarSun1+9)=Year,MONTH(MarSun1+9)=3),MarSun1+9, "")</f>
        <v>45720</v>
      </c>
      <c r="E26" s="1">
        <f>IF(AND(YEAR(MarSun1+10)=Year,MONTH(MarSun1+10)=3),MarSun1+10, "")</f>
        <v>45721</v>
      </c>
      <c r="F26" s="1">
        <f>IF(AND(YEAR(MarSun1+11)=Year,MONTH(MarSun1+11)=3),MarSun1+11, "")</f>
        <v>45722</v>
      </c>
      <c r="G26" s="1">
        <f>IF(AND(YEAR(MarSun1+12)=Year,MONTH(MarSun1+12)=3),MarSun1+12, "")</f>
        <v>45723</v>
      </c>
      <c r="H26" s="1">
        <f>IF(AND(YEAR(MarSun1+13)=Year,MONTH(MarSun1+13)=3),MarSun1+13, "")</f>
        <v>45724</v>
      </c>
      <c r="J26" s="1">
        <f>IF(AND(YEAR(JunSun1+7)=Year,MONTH(JunSun1+7)=6),JunSun1+7, "")</f>
        <v>45816</v>
      </c>
      <c r="K26" s="77">
        <f>IF(AND(YEAR(JunSun1+8)=Year,MONTH(JunSun1+8)=6),JunSun1+8, "")</f>
        <v>45817</v>
      </c>
      <c r="L26" s="1">
        <f>IF(AND(YEAR(JunSun1+9)=Year,MONTH(JunSun1+9)=6),JunSun1+9, "")</f>
        <v>45818</v>
      </c>
      <c r="M26" s="1">
        <f>IF(AND(YEAR(JunSun1+10)=Year,MONTH(JunSun1+10)=6),JunSun1+10, "")</f>
        <v>45819</v>
      </c>
      <c r="N26" s="1">
        <f>IF(AND(YEAR(JunSun1+11)=Year,MONTH(JunSun1+11)=6),JunSun1+11, "")</f>
        <v>45820</v>
      </c>
      <c r="O26" s="1">
        <f>IF(AND(YEAR(JunSun1+12)=Year,MONTH(JunSun1+12)=6),JunSun1+12, "")</f>
        <v>45821</v>
      </c>
      <c r="P26" s="1">
        <f>IF(AND(YEAR(JunSun1+13)=Year,MONTH(JunSun1+13)=6),JunSun1+13, "")</f>
        <v>45822</v>
      </c>
      <c r="R26" s="1">
        <f>IF(AND(YEAR(SepSun1+7)=Year,MONTH(SepSun1+7)=9),SepSun1+7, "")</f>
        <v>45907</v>
      </c>
      <c r="S26" s="1">
        <f>IF(AND(YEAR(SepSun1+8)=Year,MONTH(SepSun1+8)=9),SepSun1+8, "")</f>
        <v>45908</v>
      </c>
      <c r="T26" s="1">
        <f>IF(AND(YEAR(SepSun1+9)=Year,MONTH(SepSun1+9)=9),SepSun1+9, "")</f>
        <v>45909</v>
      </c>
      <c r="U26" s="1">
        <f>IF(AND(YEAR(SepSun1+10)=Year,MONTH(SepSun1+10)=9),SepSun1+10, "")</f>
        <v>45910</v>
      </c>
      <c r="V26" s="1">
        <f>IF(AND(YEAR(SepSun1+11)=Year,MONTH(SepSun1+11)=9),SepSun1+11, "")</f>
        <v>45911</v>
      </c>
      <c r="W26" s="1">
        <f>IF(AND(YEAR(SepSun1+12)=Year,MONTH(SepSun1+12)=9),SepSun1+12, "")</f>
        <v>45912</v>
      </c>
      <c r="X26" s="1">
        <f>IF(AND(YEAR(SepSun1+13)=Year,MONTH(SepSun1+13)=9),SepSun1+13, "")</f>
        <v>45913</v>
      </c>
      <c r="Z26" s="1">
        <f>IF(AND(YEAR(DecSun1+7)=Year,MONTH(DecSun1+7)=12),DecSun1+7, "")</f>
        <v>45998</v>
      </c>
      <c r="AA26" s="1">
        <f>IF(AND(YEAR(DecSun1+8)=Year,MONTH(DecSun1+8)=12),DecSun1+8, "")</f>
        <v>45999</v>
      </c>
      <c r="AB26" s="1">
        <f>IF(AND(YEAR(DecSun1+9)=Year,MONTH(DecSun1+9)=12),DecSun1+9, "")</f>
        <v>46000</v>
      </c>
      <c r="AC26" s="1">
        <f>IF(AND(YEAR(DecSun1+10)=Year,MONTH(DecSun1+10)=12),DecSun1+10, "")</f>
        <v>46001</v>
      </c>
      <c r="AD26" s="1">
        <f>IF(AND(YEAR(DecSun1+11)=Year,MONTH(DecSun1+11)=12),DecSun1+11, "")</f>
        <v>46002</v>
      </c>
      <c r="AE26" s="1">
        <f>IF(AND(YEAR(DecSun1+12)=Year,MONTH(DecSun1+12)=12),DecSun1+12, "")</f>
        <v>46003</v>
      </c>
      <c r="AF26" s="1">
        <f>IF(AND(YEAR(DecSun1+13)=Year,MONTH(DecSun1+13)=12),DecSun1+13, "")</f>
        <v>46004</v>
      </c>
    </row>
    <row r="27" spans="2:42" ht="18" customHeight="1" x14ac:dyDescent="0.25">
      <c r="B27" s="1">
        <f>IF(AND(YEAR(MarSun1+14)=Year,MONTH(MarSun1+14)=3),MarSun1+14, "")</f>
        <v>45725</v>
      </c>
      <c r="C27" s="1">
        <f>IF(AND(YEAR(MarSun1+15)=Year,MONTH(MarSun1+15)=3),MarSun1+15, "")</f>
        <v>45726</v>
      </c>
      <c r="D27" s="1">
        <f>IF(AND(YEAR(MarSun1+16)=Year,MONTH(MarSun1+16)=3),MarSun1+16, "")</f>
        <v>45727</v>
      </c>
      <c r="E27" s="1">
        <f>IF(AND(YEAR(MarSun1+17)=Year,MONTH(MarSun1+17)=3),MarSun1+17, "")</f>
        <v>45728</v>
      </c>
      <c r="F27" s="1">
        <f>IF(AND(YEAR(MarSun1+18)=Year,MONTH(MarSun1+18)=3),MarSun1+18, "")</f>
        <v>45729</v>
      </c>
      <c r="G27" s="75">
        <f>IF(AND(YEAR(MarSun1+19)=Year,MONTH(MarSun1+19)=3),MarSun1+19, "")</f>
        <v>45730</v>
      </c>
      <c r="H27" s="1">
        <f>IF(AND(YEAR(MarSun1+20)=Year,MONTH(MarSun1+20)=3),MarSun1+20, "")</f>
        <v>45731</v>
      </c>
      <c r="J27" s="1">
        <f>IF(AND(YEAR(JunSun1+14)=Year,MONTH(JunSun1+14)=6),JunSun1+14, "")</f>
        <v>45823</v>
      </c>
      <c r="K27" s="1">
        <f>IF(AND(YEAR(JunSun1+15)=Year,MONTH(JunSun1+15)=6),JunSun1+15, "")</f>
        <v>45824</v>
      </c>
      <c r="L27" s="1">
        <f>IF(AND(YEAR(JunSun1+16)=Year,MONTH(JunSun1+16)=6),JunSun1+16, "")</f>
        <v>45825</v>
      </c>
      <c r="M27" s="1">
        <f>IF(AND(YEAR(JunSun1+17)=Year,MONTH(JunSun1+17)=6),JunSun1+17, "")</f>
        <v>45826</v>
      </c>
      <c r="N27" s="1">
        <f>IF(AND(YEAR(JunSun1+18)=Year,MONTH(JunSun1+18)=6),JunSun1+18, "")</f>
        <v>45827</v>
      </c>
      <c r="O27" s="1">
        <f>IF(AND(YEAR(JunSun1+19)=Year,MONTH(JunSun1+19)=6),JunSun1+19, "")</f>
        <v>45828</v>
      </c>
      <c r="P27" s="1">
        <f>IF(AND(YEAR(JunSun1+20)=Year,MONTH(JunSun1+20)=6),JunSun1+20, "")</f>
        <v>45829</v>
      </c>
      <c r="R27" s="1">
        <f>IF(AND(YEAR(SepSun1+14)=Year,MONTH(SepSun1+14)=9),SepSun1+14, "")</f>
        <v>45914</v>
      </c>
      <c r="S27" s="1">
        <f>IF(AND(YEAR(SepSun1+15)=Year,MONTH(SepSun1+15)=9),SepSun1+15, "")</f>
        <v>45915</v>
      </c>
      <c r="T27" s="1">
        <f>IF(AND(YEAR(SepSun1+16)=Year,MONTH(SepSun1+16)=9),SepSun1+16, "")</f>
        <v>45916</v>
      </c>
      <c r="U27" s="1">
        <f>IF(AND(YEAR(SepSun1+17)=Year,MONTH(SepSun1+17)=9),SepSun1+17, "")</f>
        <v>45917</v>
      </c>
      <c r="V27" s="1">
        <f>IF(AND(YEAR(SepSun1+18)=Year,MONTH(SepSun1+18)=9),SepSun1+18, "")</f>
        <v>45918</v>
      </c>
      <c r="W27" s="1">
        <f>IF(AND(YEAR(SepSun1+19)=Year,MONTH(SepSun1+19)=9),SepSun1+19, "")</f>
        <v>45919</v>
      </c>
      <c r="X27" s="1">
        <f>IF(AND(YEAR(SepSun1+20)=Year,MONTH(SepSun1+20)=9),SepSun1+20, "")</f>
        <v>45920</v>
      </c>
      <c r="Z27" s="1">
        <f>IF(AND(YEAR(DecSun1+14)=Year,MONTH(DecSun1+14)=12),DecSun1+14, "")</f>
        <v>46005</v>
      </c>
      <c r="AA27" s="1">
        <f>IF(AND(YEAR(DecSun1+15)=Year,MONTH(DecSun1+15)=12),DecSun1+15, "")</f>
        <v>46006</v>
      </c>
      <c r="AB27" s="19">
        <f>IF(AND(YEAR(DecSun1+16)=Year,MONTH(DecSun1+16)=12),DecSun1+16, "")</f>
        <v>46007</v>
      </c>
      <c r="AC27" s="7">
        <f>IF(AND(YEAR(DecSun1+17)=Year,MONTH(DecSun1+17)=12),DecSun1+17, "")</f>
        <v>46008</v>
      </c>
      <c r="AD27" s="1">
        <f>IF(AND(YEAR(DecSun1+18)=Year,MONTH(DecSun1+18)=12),DecSun1+18, "")</f>
        <v>46009</v>
      </c>
      <c r="AE27" s="1">
        <f>IF(AND(YEAR(DecSun1+19)=Year,MONTH(DecSun1+19)=12),DecSun1+19, "")</f>
        <v>46010</v>
      </c>
      <c r="AF27" s="1">
        <f>IF(AND(YEAR(DecSun1+20)=Year,MONTH(DecSun1+20)=12),DecSun1+20, "")</f>
        <v>46011</v>
      </c>
    </row>
    <row r="28" spans="2:42" ht="18" customHeight="1" x14ac:dyDescent="0.25">
      <c r="B28" s="1">
        <f>IF(AND(YEAR(MarSun1+21)=Year,MONTH(MarSun1+21)=3),MarSun1+21, "")</f>
        <v>45732</v>
      </c>
      <c r="C28" s="1">
        <f>IF(AND(YEAR(MarSun1+22)=Year,MONTH(MarSun1+22)=3),MarSun1+22, "")</f>
        <v>45733</v>
      </c>
      <c r="D28" s="1">
        <f>IF(AND(YEAR(MarSun1+23)=Year,MONTH(MarSun1+23)=3),MarSun1+23, "")</f>
        <v>45734</v>
      </c>
      <c r="E28" s="76">
        <f>IF(AND(YEAR(MarSun1+24)=Year,MONTH(MarSun1+24)=3),MarSun1+24, "")</f>
        <v>45735</v>
      </c>
      <c r="F28" s="1">
        <f>IF(AND(YEAR(MarSun1+25)=Year,MONTH(MarSun1+25)=3),MarSun1+25, "")</f>
        <v>45736</v>
      </c>
      <c r="G28" s="76">
        <f>IF(AND(YEAR(MarSun1+26)=Year,MONTH(MarSun1+26)=3),MarSun1+26, "")</f>
        <v>45737</v>
      </c>
      <c r="H28" s="1">
        <f>IF(AND(YEAR(MarSun1+27)=Year,MONTH(MarSun1+27)=3),MarSun1+27, "")</f>
        <v>45738</v>
      </c>
      <c r="J28" s="1">
        <f>IF(AND(YEAR(JunSun1+21)=Year,MONTH(JunSun1+21)=6),JunSun1+21, "")</f>
        <v>45830</v>
      </c>
      <c r="K28" s="76">
        <f>IF(AND(YEAR(JunSun1+22)=Year,MONTH(JunSun1+22)=6),JunSun1+22, "")</f>
        <v>45831</v>
      </c>
      <c r="L28" s="19">
        <f>IF(AND(YEAR(JunSun1+23)=Year,MONTH(JunSun1+23)=6),JunSun1+23, "")</f>
        <v>45832</v>
      </c>
      <c r="M28" s="7">
        <f>IF(AND(YEAR(JunSun1+24)=Year,MONTH(JunSun1+24)=6),JunSun1+24, "")</f>
        <v>45833</v>
      </c>
      <c r="N28" s="1">
        <f>IF(AND(YEAR(JunSun1+25)=Year,MONTH(JunSun1+25)=6),JunSun1+25, "")</f>
        <v>45834</v>
      </c>
      <c r="O28" s="1">
        <f>IF(AND(YEAR(JunSun1+26)=Year,MONTH(JunSun1+26)=6),JunSun1+26, "")</f>
        <v>45835</v>
      </c>
      <c r="P28" s="1">
        <f>IF(AND(YEAR(JunSun1+27)=Year,MONTH(JunSun1+27)=6),JunSun1+27, "")</f>
        <v>45836</v>
      </c>
      <c r="R28" s="1">
        <f>IF(AND(YEAR(SepSun1+21)=Year,MONTH(SepSun1+21)=9),SepSun1+21, "")</f>
        <v>45921</v>
      </c>
      <c r="S28" s="1">
        <f>IF(AND(YEAR(SepSun1+22)=Year,MONTH(SepSun1+22)=9),SepSun1+22, "")</f>
        <v>45922</v>
      </c>
      <c r="T28" s="19">
        <f>IF(AND(YEAR(SepSun1+23)=Year,MONTH(SepSun1+23)=9),SepSun1+23, "")</f>
        <v>45923</v>
      </c>
      <c r="U28" s="76">
        <f>IF(AND(YEAR(SepSun1+24)=Year,MONTH(SepSun1+24)=9),SepSun1+24, "")</f>
        <v>45924</v>
      </c>
      <c r="V28" s="76">
        <f>IF(AND(YEAR(SepSun1+25)=Year,MONTH(SepSun1+25)=9),SepSun1+25, "")</f>
        <v>45925</v>
      </c>
      <c r="W28" s="1">
        <f>IF(AND(YEAR(SepSun1+26)=Year,MONTH(SepSun1+26)=9),SepSun1+26, "")</f>
        <v>45926</v>
      </c>
      <c r="X28" s="1">
        <f>IF(AND(YEAR(SepSun1+27)=Year,MONTH(SepSun1+27)=9),SepSun1+27, "")</f>
        <v>45927</v>
      </c>
      <c r="Z28" s="1">
        <f>IF(AND(YEAR(DecSun1+21)=Year,MONTH(DecSun1+21)=12),DecSun1+21, "")</f>
        <v>46012</v>
      </c>
      <c r="AA28" s="1">
        <f>IF(AND(YEAR(DecSun1+22)=Year,MONTH(DecSun1+22)=12),DecSun1+22, "")</f>
        <v>46013</v>
      </c>
      <c r="AB28" s="76">
        <f>IF(AND(YEAR(DecSun1+23)=Year,MONTH(DecSun1+23)=12),DecSun1+23, "")</f>
        <v>46014</v>
      </c>
      <c r="AC28" s="76">
        <f>IF(AND(YEAR(DecSun1+24)=Year,MONTH(DecSun1+24)=12),DecSun1+24, "")</f>
        <v>46015</v>
      </c>
      <c r="AD28" s="1">
        <f>IF(AND(YEAR(DecSun1+25)=Year,MONTH(DecSun1+25)=12),DecSun1+25, "")</f>
        <v>46016</v>
      </c>
      <c r="AE28" s="1">
        <f>IF(AND(YEAR(DecSun1+26)=Year,MONTH(DecSun1+26)=12),DecSun1+26, "")</f>
        <v>46017</v>
      </c>
      <c r="AF28" s="1">
        <f>IF(AND(YEAR(DecSun1+27)=Year,MONTH(DecSun1+27)=12),DecSun1+27, "")</f>
        <v>46018</v>
      </c>
    </row>
    <row r="29" spans="2:42" ht="18" customHeight="1" x14ac:dyDescent="0.25">
      <c r="B29" s="1">
        <f>IF(AND(YEAR(MarSun1+28)=Year,MONTH(MarSun1+28)=3),MarSun1+28, "")</f>
        <v>45739</v>
      </c>
      <c r="C29" s="1">
        <f>IF(AND(YEAR(MarSun1+29)=Year,MONTH(MarSun1+29)=3),MarSun1+29, "")</f>
        <v>45740</v>
      </c>
      <c r="D29" s="19">
        <f>IF(AND(YEAR(MarSun1+30)=Year,MONTH(MarSun1+30)=3),MarSun1+30, "")</f>
        <v>45741</v>
      </c>
      <c r="E29" s="9">
        <f>IF(AND(YEAR(MarSun1+31)=Year,MONTH(MarSun1+31)=3),MarSun1+31, "")</f>
        <v>45742</v>
      </c>
      <c r="F29" s="1">
        <f>IF(AND(YEAR(MarSun1+32)=Year,MONTH(MarSun1+32)=3),MarSun1+32, "")</f>
        <v>45743</v>
      </c>
      <c r="G29" s="1">
        <f>IF(AND(YEAR(MarSun1+33)=Year,MONTH(MarSun1+33)=3),MarSun1+33, "")</f>
        <v>45744</v>
      </c>
      <c r="H29" s="1">
        <f>IF(AND(YEAR(MarSun1+34)=Year,MONTH(MarSun1+34)=3),MarSun1+34, "")</f>
        <v>45745</v>
      </c>
      <c r="J29" s="1">
        <f>IF(AND(YEAR(JunSun1+28)=Year,MONTH(JunSun1+28)=6),JunSun1+28, "")</f>
        <v>45837</v>
      </c>
      <c r="K29" s="1">
        <f>IF(AND(YEAR(JunSun1+29)=Year,MONTH(JunSun1+29)=6),JunSun1+29, "")</f>
        <v>45838</v>
      </c>
      <c r="L29" s="76" t="str">
        <f>IF(AND(YEAR(JunSun1+30)=Year,MONTH(JunSun1+30)=6),JunSun1+30, "")</f>
        <v/>
      </c>
      <c r="M29" s="76" t="str">
        <f>IF(AND(YEAR(JunSun1+31)=Year,MONTH(JunSun1+31)=6),JunSun1+31, "")</f>
        <v/>
      </c>
      <c r="N29" s="1" t="str">
        <f>IF(AND(YEAR(JunSun1+32)=Year,MONTH(JunSun1+32)=6),JunSun1+32, "")</f>
        <v/>
      </c>
      <c r="O29" s="1" t="str">
        <f>IF(AND(YEAR(JunSun1+33)=Year,MONTH(JunSun1+33)=6),JunSun1+33, "")</f>
        <v/>
      </c>
      <c r="P29" s="1" t="str">
        <f>IF(AND(YEAR(JunSun1+34)=Year,MONTH(JunSun1+34)=6),JunSun1+34, "")</f>
        <v/>
      </c>
      <c r="R29" s="1">
        <f>IF(AND(YEAR(SepSun1+28)=Year,MONTH(SepSun1+28)=9),SepSun1+28, "")</f>
        <v>45928</v>
      </c>
      <c r="S29" s="1">
        <f>IF(AND(YEAR(SepSun1+29)=Year,MONTH(SepSun1+29)=9),SepSun1+29, "")</f>
        <v>45929</v>
      </c>
      <c r="T29" s="76">
        <f>IF(AND(YEAR(SepSun1+30)=Year,MONTH(SepSun1+30)=9),SepSun1+30, "")</f>
        <v>45930</v>
      </c>
      <c r="U29" s="76" t="str">
        <f>IF(AND(YEAR(SepSun1+31)=Year,MONTH(SepSun1+31)=9),SepSun1+31, "")</f>
        <v/>
      </c>
      <c r="V29" s="1" t="str">
        <f>IF(AND(YEAR(SepSun1+32)=Year,MONTH(SepSun1+32)=9),SepSun1+32, "")</f>
        <v/>
      </c>
      <c r="W29" s="1" t="str">
        <f>IF(AND(YEAR(SepSun1+33)=Year,MONTH(SepSun1+33)=9),SepSun1+33, "")</f>
        <v/>
      </c>
      <c r="X29" s="1" t="str">
        <f>IF(AND(YEAR(SepSun1+34)=Year,MONTH(SepSun1+34)=9),SepSun1+34, "")</f>
        <v/>
      </c>
      <c r="Z29" s="1">
        <f>IF(AND(YEAR(DecSun1+28)=Year,MONTH(DecSun1+28)=12),DecSun1+28, "")</f>
        <v>46019</v>
      </c>
      <c r="AA29" s="1">
        <f>IF(AND(YEAR(DecSun1+29)=Year,MONTH(DecSun1+29)=12),DecSun1+29, "")</f>
        <v>46020</v>
      </c>
      <c r="AB29" s="76">
        <f>IF(AND(YEAR(DecSun1+30)=Year,MONTH(DecSun1+30)=12),DecSun1+30, "")</f>
        <v>46021</v>
      </c>
      <c r="AC29" s="1">
        <f>IF(AND(YEAR(DecSun1+31)=Year,MONTH(DecSun1+31)=12),DecSun1+31, "")</f>
        <v>46022</v>
      </c>
      <c r="AD29" s="1" t="str">
        <f>IF(AND(YEAR(DecSun1+32)=Year,MONTH(DecSun1+32)=12),DecSun1+32, "")</f>
        <v/>
      </c>
      <c r="AE29" s="1" t="str">
        <f>IF(AND(YEAR(DecSun1+33)=Year,MONTH(DecSun1+33)=12),DecSun1+33, "")</f>
        <v/>
      </c>
      <c r="AF29" s="1" t="str">
        <f>IF(AND(YEAR(DecSun1+34)=Year,MONTH(DecSun1+34)=12),DecSun1+34, "")</f>
        <v/>
      </c>
    </row>
    <row r="30" spans="2:42" ht="18" customHeight="1" x14ac:dyDescent="0.25">
      <c r="B30" s="1">
        <f>IF(AND(YEAR(MarSun1+35)=Year,MONTH(MarSun1+35)=3),MarSun1+35, "")</f>
        <v>45746</v>
      </c>
      <c r="C30" s="1">
        <f>IF(AND(YEAR(MarSun1+36)=Year,MONTH(MarSun1+36)=3),MarSun1+36, "")</f>
        <v>45747</v>
      </c>
      <c r="D30" s="1" t="str">
        <f>IF(AND(YEAR(MarSun1+37)=Year,MONTH(MarSun1+37)=3),MarSun1+37, "")</f>
        <v/>
      </c>
      <c r="E30" s="1" t="str">
        <f>IF(AND(YEAR(MarSun1+38)=Year,MONTH(MarSun1+38)=3),MarSun1+38, "")</f>
        <v/>
      </c>
      <c r="F30" s="1" t="str">
        <f>IF(AND(YEAR(MarSun1+39)=Year,MONTH(MarSun1+39)=3),MarSun1+39, "")</f>
        <v/>
      </c>
      <c r="G30" s="1" t="str">
        <f>IF(AND(YEAR(MarSun1+40)=Year,MONTH(MarSun1+40)=3),MarSun1+40, "")</f>
        <v/>
      </c>
      <c r="H30" s="1" t="str">
        <f>IF(AND(YEAR(MarSun1+41)=Year,MONTH(MarSun1+41)=3),MarSun1+41, "")</f>
        <v/>
      </c>
      <c r="J30" s="1" t="str">
        <f>IF(AND(YEAR(JunSun1+35)=Year,MONTH(JunSun1+35)=6),JunSun1+35, "")</f>
        <v/>
      </c>
      <c r="K30" s="1" t="str">
        <f>IF(AND(YEAR(JunSun1+36)=Year,MONTH(JunSun1+36)=6),JunSun1+36, "")</f>
        <v/>
      </c>
      <c r="L30" s="1" t="str">
        <f>IF(AND(YEAR(JunSun1+37)=Year,MONTH(JunSun1+37)=6),JunSun1+37, "")</f>
        <v/>
      </c>
      <c r="M30" s="1" t="str">
        <f>IF(AND(YEAR(JunSun1+38)=Year,MONTH(JunSun1+38)=6),JunSun1+38, "")</f>
        <v/>
      </c>
      <c r="N30" s="1" t="str">
        <f>IF(AND(YEAR(JunSun1+39)=Year,MONTH(JunSun1+39)=6),JunSun1+39, "")</f>
        <v/>
      </c>
      <c r="O30" s="1" t="str">
        <f>IF(AND(YEAR(JunSun1+40)=Year,MONTH(JunSun1+40)=6),JunSun1+40, "")</f>
        <v/>
      </c>
      <c r="P30" s="1" t="str">
        <f>IF(AND(YEAR(JunSun1+41)=Year,MONTH(JunSun1+41)=6),JunSun1+41, "")</f>
        <v/>
      </c>
      <c r="R30" s="1" t="str">
        <f>IF(AND(YEAR(SepSun1+35)=Year,MONTH(SepSun1+35)=9),SepSun1+35, "")</f>
        <v/>
      </c>
      <c r="S30" s="1" t="str">
        <f>IF(AND(YEAR(SepSun1+36)=Year,MONTH(SepSun1+36)=9),SepSun1+36, "")</f>
        <v/>
      </c>
      <c r="T30" s="1" t="str">
        <f>IF(AND(YEAR(SepSun1+37)=Year,MONTH(SepSun1+37)=9),SepSun1+37, "")</f>
        <v/>
      </c>
      <c r="U30" s="1" t="str">
        <f>IF(AND(YEAR(SepSun1+38)=Year,MONTH(SepSun1+38)=9),SepSun1+38, "")</f>
        <v/>
      </c>
      <c r="V30" s="1" t="str">
        <f>IF(AND(YEAR(SepSun1+39)=Year,MONTH(SepSun1+39)=9),SepSun1+39, "")</f>
        <v/>
      </c>
      <c r="W30" s="1" t="str">
        <f>IF(AND(YEAR(SepSun1+40)=Year,MONTH(SepSun1+40)=9),SepSun1+40, "")</f>
        <v/>
      </c>
      <c r="X30" s="1" t="str">
        <f>IF(AND(YEAR(SepSun1+41)=Year,MONTH(SepSun1+41)=9),SepSun1+41, "")</f>
        <v/>
      </c>
      <c r="Z30" s="1" t="str">
        <f>IF(AND(YEAR(DecSun1+35)=Year,MONTH(DecSun1+35)=12),DecSun1+35, "")</f>
        <v/>
      </c>
      <c r="AA30" s="1" t="str">
        <f>IF(AND(YEAR(DecSun1+36)=Year,MONTH(DecSun1+36)=12),DecSun1+36, "")</f>
        <v/>
      </c>
      <c r="AB30" s="1" t="str">
        <f>IF(AND(YEAR(DecSun1+37)=Year,MONTH(DecSun1+37)=12),DecSun1+37, "")</f>
        <v/>
      </c>
      <c r="AC30" s="1" t="str">
        <f>IF(AND(YEAR(DecSun1+38)=Year,MONTH(DecSun1+38)=12),DecSun1+38, "")</f>
        <v/>
      </c>
      <c r="AD30" s="1" t="str">
        <f>IF(AND(YEAR(DecSun1+39)=Year,MONTH(DecSun1+39)=12),DecSun1+39, "")</f>
        <v/>
      </c>
      <c r="AE30" s="1" t="str">
        <f>IF(AND(YEAR(DecSun1+40)=Year,MONTH(DecSun1+40)=12),DecSun1+40, "")</f>
        <v/>
      </c>
      <c r="AF30" s="1" t="str">
        <f>IF(AND(YEAR(DecSun1+41)=Year,MONTH(DecSun1+41)=12),DecSun1+41, "")</f>
        <v/>
      </c>
    </row>
    <row r="31" spans="2:42" ht="18" customHeight="1" x14ac:dyDescent="0.25">
      <c r="B31" s="20"/>
      <c r="C31" s="20"/>
      <c r="D31" s="20"/>
      <c r="E31" s="20"/>
      <c r="F31" s="20"/>
      <c r="G31" s="20"/>
      <c r="H31" s="20"/>
      <c r="J31" s="20"/>
      <c r="K31" s="20"/>
      <c r="L31" s="20"/>
      <c r="M31" s="20"/>
      <c r="N31" s="20"/>
      <c r="O31" s="20"/>
      <c r="P31" s="20"/>
      <c r="R31" s="20"/>
      <c r="S31" s="20"/>
      <c r="T31" s="20"/>
      <c r="U31" s="20"/>
      <c r="V31" s="20"/>
      <c r="W31" s="20"/>
      <c r="X31" s="20"/>
      <c r="Z31" s="20"/>
      <c r="AA31" s="20"/>
      <c r="AB31" s="20"/>
      <c r="AC31" s="20"/>
      <c r="AD31" s="20"/>
      <c r="AE31" s="20"/>
      <c r="AF31" s="20"/>
    </row>
    <row r="32" spans="2:42" ht="18" customHeight="1" x14ac:dyDescent="0.25">
      <c r="B32" s="20"/>
      <c r="C32" s="20"/>
      <c r="D32" s="20"/>
      <c r="E32" s="20"/>
      <c r="F32" s="20"/>
      <c r="G32" s="20"/>
      <c r="H32" s="20"/>
      <c r="J32" s="20"/>
      <c r="K32" s="20"/>
      <c r="L32" s="20"/>
      <c r="M32" s="20"/>
      <c r="N32" s="20"/>
      <c r="O32" s="20"/>
      <c r="P32" s="20"/>
      <c r="R32" s="20"/>
      <c r="S32" s="20"/>
      <c r="T32" s="20"/>
      <c r="U32" s="20"/>
      <c r="V32" s="20"/>
      <c r="W32" s="20"/>
      <c r="X32" s="20"/>
      <c r="Z32" s="20"/>
      <c r="AA32" s="20"/>
      <c r="AB32" s="20"/>
      <c r="AC32" s="20"/>
      <c r="AD32" s="20"/>
      <c r="AE32" s="20"/>
      <c r="AF32" s="20"/>
    </row>
    <row r="33" spans="1:38" s="306" customFormat="1" ht="18" customHeight="1" x14ac:dyDescent="0.25">
      <c r="A33" s="306" t="s">
        <v>70</v>
      </c>
    </row>
    <row r="34" spans="1:38" ht="18" customHeight="1" x14ac:dyDescent="0.25">
      <c r="B34" s="20"/>
      <c r="C34" s="20"/>
      <c r="D34" s="20"/>
      <c r="E34" s="20"/>
      <c r="F34" s="20"/>
      <c r="G34" s="20"/>
      <c r="H34" s="20"/>
      <c r="J34" s="20"/>
      <c r="K34" s="20"/>
      <c r="L34" s="20"/>
      <c r="M34" s="20"/>
      <c r="N34" s="20"/>
      <c r="O34" s="20"/>
      <c r="P34" s="20"/>
      <c r="R34" s="20"/>
      <c r="S34" s="20"/>
      <c r="T34" s="20"/>
      <c r="U34" s="20"/>
      <c r="V34" s="20"/>
      <c r="W34" s="20"/>
      <c r="X34" s="20"/>
      <c r="Z34" s="20"/>
      <c r="AA34" s="20"/>
      <c r="AB34" s="20"/>
      <c r="AC34" s="20"/>
      <c r="AD34" s="20"/>
      <c r="AE34" s="20"/>
      <c r="AF34" s="20"/>
    </row>
    <row r="35" spans="1:38" ht="18" customHeight="1" x14ac:dyDescent="0.25">
      <c r="B35" s="20"/>
      <c r="C35" s="20"/>
      <c r="D35" s="20"/>
      <c r="E35" s="20"/>
      <c r="F35" s="20"/>
      <c r="G35" s="20"/>
      <c r="H35" s="20"/>
      <c r="J35" s="20"/>
      <c r="K35" s="20"/>
      <c r="L35" s="20"/>
      <c r="M35" s="20"/>
      <c r="N35" s="20"/>
      <c r="O35" s="20"/>
      <c r="P35" s="20"/>
      <c r="R35" s="20"/>
      <c r="S35" s="20"/>
      <c r="T35" s="20"/>
      <c r="U35" s="20"/>
      <c r="V35" s="20"/>
      <c r="W35" s="20"/>
      <c r="X35" s="20"/>
      <c r="Z35" s="20"/>
      <c r="AA35" s="20"/>
      <c r="AB35" s="20"/>
      <c r="AC35" s="20"/>
      <c r="AD35" s="20"/>
      <c r="AE35" s="20"/>
      <c r="AF35" s="20"/>
    </row>
    <row r="36" spans="1:38" ht="18" customHeight="1" x14ac:dyDescent="0.25">
      <c r="B36" s="20"/>
      <c r="C36" s="20"/>
      <c r="D36" s="20"/>
      <c r="E36" s="20"/>
      <c r="F36" s="20"/>
      <c r="G36" s="20"/>
      <c r="H36" s="20"/>
      <c r="J36" s="20"/>
      <c r="K36" s="20"/>
      <c r="L36" s="20"/>
      <c r="M36" s="20"/>
      <c r="N36" s="20"/>
      <c r="O36" s="20"/>
      <c r="P36" s="20"/>
      <c r="R36" s="20"/>
      <c r="S36" s="20"/>
      <c r="T36" s="20"/>
      <c r="U36" s="20"/>
      <c r="V36" s="20"/>
      <c r="W36" s="20"/>
      <c r="X36" s="20"/>
      <c r="Z36" s="20"/>
      <c r="AA36" s="20"/>
      <c r="AB36" s="20"/>
      <c r="AC36" s="20"/>
      <c r="AD36" s="20"/>
      <c r="AE36" s="20"/>
      <c r="AF36" s="20"/>
    </row>
    <row r="37" spans="1:38" ht="18" customHeight="1" x14ac:dyDescent="0.25">
      <c r="B37" s="20"/>
      <c r="C37" s="20"/>
      <c r="D37" s="20"/>
      <c r="E37" s="20"/>
      <c r="F37" s="20"/>
      <c r="G37" s="20"/>
      <c r="H37" s="20"/>
      <c r="J37" s="20"/>
      <c r="K37" s="20"/>
      <c r="L37" s="20"/>
      <c r="M37" s="20"/>
      <c r="N37" s="20"/>
      <c r="O37" s="20"/>
      <c r="P37" s="20"/>
      <c r="R37" s="20"/>
      <c r="S37" s="20"/>
      <c r="T37" s="20"/>
      <c r="U37" s="20"/>
      <c r="V37" s="20"/>
      <c r="W37" s="20"/>
      <c r="X37" s="20"/>
      <c r="Z37" s="20"/>
      <c r="AA37" s="20"/>
      <c r="AB37" s="20"/>
      <c r="AC37" s="20"/>
      <c r="AD37" s="20"/>
      <c r="AE37" s="20"/>
      <c r="AF37" s="20"/>
    </row>
    <row r="38" spans="1:38" ht="18" customHeight="1" x14ac:dyDescent="0.25">
      <c r="B38" s="255" t="s">
        <v>66</v>
      </c>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row>
    <row r="39" spans="1:38" ht="18" customHeight="1" thickBot="1" x14ac:dyDescent="0.3">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row>
    <row r="40" spans="1:38" s="24" customFormat="1" ht="15.75" thickBot="1" x14ac:dyDescent="0.3">
      <c r="A40" s="21"/>
      <c r="B40" s="240" t="s">
        <v>19</v>
      </c>
      <c r="C40" s="241"/>
      <c r="D40" s="241"/>
      <c r="E40" s="241"/>
      <c r="F40" s="241"/>
      <c r="G40" s="241"/>
      <c r="H40" s="241"/>
      <c r="I40" s="22"/>
      <c r="J40" s="225" t="s">
        <v>21</v>
      </c>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67"/>
      <c r="AH40" s="22" t="s">
        <v>22</v>
      </c>
      <c r="AI40" s="22"/>
      <c r="AJ40" s="22"/>
      <c r="AK40" s="22"/>
      <c r="AL40" s="23"/>
    </row>
    <row r="41" spans="1:38" ht="12.75" customHeight="1" x14ac:dyDescent="0.25">
      <c r="A41" s="25"/>
      <c r="B41" s="307" t="s">
        <v>30</v>
      </c>
      <c r="C41" s="308"/>
      <c r="D41" s="309"/>
      <c r="E41" s="250" t="s">
        <v>23</v>
      </c>
      <c r="F41" s="251"/>
      <c r="G41" s="251"/>
      <c r="H41" s="251"/>
      <c r="I41" s="103"/>
      <c r="J41" s="219" t="s">
        <v>37</v>
      </c>
      <c r="K41" s="220"/>
      <c r="L41" s="220"/>
      <c r="M41" s="220"/>
      <c r="N41" s="220"/>
      <c r="O41" s="220"/>
      <c r="P41" s="220"/>
      <c r="Q41" s="220"/>
      <c r="R41" s="220"/>
      <c r="S41" s="220"/>
      <c r="T41" s="220"/>
      <c r="U41" s="220"/>
      <c r="V41" s="220"/>
      <c r="W41" s="220"/>
      <c r="X41" s="220"/>
      <c r="Y41" s="157"/>
      <c r="Z41" s="157"/>
      <c r="AA41" s="157"/>
      <c r="AB41" s="157"/>
      <c r="AC41" s="157"/>
      <c r="AD41" s="157"/>
      <c r="AE41" s="157"/>
      <c r="AF41" s="157"/>
      <c r="AG41" s="158"/>
      <c r="AH41" s="210" t="s">
        <v>77</v>
      </c>
      <c r="AI41" s="211"/>
      <c r="AJ41" s="211"/>
      <c r="AK41" s="211"/>
      <c r="AL41" s="212"/>
    </row>
    <row r="42" spans="1:38" ht="12.75" customHeight="1" x14ac:dyDescent="0.25">
      <c r="A42" s="25"/>
      <c r="B42" s="244" t="s">
        <v>31</v>
      </c>
      <c r="C42" s="245"/>
      <c r="D42" s="246"/>
      <c r="E42" s="252" t="s">
        <v>26</v>
      </c>
      <c r="F42" s="222"/>
      <c r="G42" s="222"/>
      <c r="H42" s="222"/>
      <c r="I42" s="104"/>
      <c r="J42" s="221"/>
      <c r="K42" s="222"/>
      <c r="L42" s="222"/>
      <c r="M42" s="222"/>
      <c r="N42" s="222"/>
      <c r="O42" s="222"/>
      <c r="P42" s="222"/>
      <c r="Q42" s="222"/>
      <c r="R42" s="222"/>
      <c r="S42" s="222"/>
      <c r="T42" s="222"/>
      <c r="U42" s="222"/>
      <c r="V42" s="222"/>
      <c r="W42" s="222"/>
      <c r="X42" s="222"/>
      <c r="Y42" s="147"/>
      <c r="Z42" s="147"/>
      <c r="AA42" s="147"/>
      <c r="AB42" s="147"/>
      <c r="AC42" s="147"/>
      <c r="AD42" s="147"/>
      <c r="AE42" s="147"/>
      <c r="AF42" s="147"/>
      <c r="AG42" s="148"/>
      <c r="AH42" s="213"/>
      <c r="AI42" s="214"/>
      <c r="AJ42" s="214"/>
      <c r="AK42" s="214"/>
      <c r="AL42" s="215"/>
    </row>
    <row r="43" spans="1:38" ht="12.75" customHeight="1" x14ac:dyDescent="0.25">
      <c r="A43" s="25"/>
      <c r="B43" s="244" t="s">
        <v>33</v>
      </c>
      <c r="C43" s="245"/>
      <c r="D43" s="246"/>
      <c r="E43" s="252" t="s">
        <v>28</v>
      </c>
      <c r="F43" s="222"/>
      <c r="G43" s="222"/>
      <c r="H43" s="222"/>
      <c r="I43" s="104"/>
      <c r="J43" s="221"/>
      <c r="K43" s="222"/>
      <c r="L43" s="222"/>
      <c r="M43" s="222"/>
      <c r="N43" s="222"/>
      <c r="O43" s="222"/>
      <c r="P43" s="222"/>
      <c r="Q43" s="222"/>
      <c r="R43" s="222"/>
      <c r="S43" s="222"/>
      <c r="T43" s="222"/>
      <c r="U43" s="222"/>
      <c r="V43" s="222"/>
      <c r="W43" s="222"/>
      <c r="X43" s="222"/>
      <c r="Y43" s="147"/>
      <c r="Z43" s="147"/>
      <c r="AA43" s="147"/>
      <c r="AB43" s="147"/>
      <c r="AC43" s="147"/>
      <c r="AD43" s="147"/>
      <c r="AE43" s="147"/>
      <c r="AF43" s="147"/>
      <c r="AG43" s="148"/>
      <c r="AH43" s="213"/>
      <c r="AI43" s="214"/>
      <c r="AJ43" s="214"/>
      <c r="AK43" s="214"/>
      <c r="AL43" s="215"/>
    </row>
    <row r="44" spans="1:38" ht="12.75" customHeight="1" x14ac:dyDescent="0.25">
      <c r="A44" s="25"/>
      <c r="B44" s="244" t="s">
        <v>34</v>
      </c>
      <c r="C44" s="245"/>
      <c r="D44" s="246"/>
      <c r="E44" s="252" t="s">
        <v>32</v>
      </c>
      <c r="F44" s="222"/>
      <c r="G44" s="222"/>
      <c r="H44" s="222"/>
      <c r="I44" s="104"/>
      <c r="J44" s="221"/>
      <c r="K44" s="222"/>
      <c r="L44" s="222"/>
      <c r="M44" s="222"/>
      <c r="N44" s="222"/>
      <c r="O44" s="222"/>
      <c r="P44" s="222"/>
      <c r="Q44" s="222"/>
      <c r="R44" s="222"/>
      <c r="S44" s="222"/>
      <c r="T44" s="222"/>
      <c r="U44" s="222"/>
      <c r="V44" s="222"/>
      <c r="W44" s="222"/>
      <c r="X44" s="222"/>
      <c r="Y44" s="147"/>
      <c r="Z44" s="147"/>
      <c r="AA44" s="147"/>
      <c r="AB44" s="147"/>
      <c r="AC44" s="147"/>
      <c r="AD44" s="147"/>
      <c r="AE44" s="147"/>
      <c r="AF44" s="147"/>
      <c r="AG44" s="148"/>
      <c r="AH44" s="213"/>
      <c r="AI44" s="214"/>
      <c r="AJ44" s="214"/>
      <c r="AK44" s="214"/>
      <c r="AL44" s="215"/>
    </row>
    <row r="45" spans="1:38" ht="12.75" customHeight="1" x14ac:dyDescent="0.25">
      <c r="A45" s="25"/>
      <c r="B45" s="244" t="s">
        <v>34</v>
      </c>
      <c r="C45" s="245"/>
      <c r="D45" s="246"/>
      <c r="E45" s="252" t="s">
        <v>57</v>
      </c>
      <c r="F45" s="222"/>
      <c r="G45" s="222"/>
      <c r="H45" s="222"/>
      <c r="I45" s="304"/>
      <c r="J45" s="221"/>
      <c r="K45" s="222"/>
      <c r="L45" s="222"/>
      <c r="M45" s="222"/>
      <c r="N45" s="222"/>
      <c r="O45" s="222"/>
      <c r="P45" s="222"/>
      <c r="Q45" s="222"/>
      <c r="R45" s="222"/>
      <c r="S45" s="222"/>
      <c r="T45" s="222"/>
      <c r="U45" s="222"/>
      <c r="V45" s="222"/>
      <c r="W45" s="222"/>
      <c r="X45" s="222"/>
      <c r="Y45" s="147"/>
      <c r="Z45" s="147"/>
      <c r="AA45" s="147"/>
      <c r="AB45" s="147"/>
      <c r="AC45" s="147"/>
      <c r="AD45" s="147"/>
      <c r="AE45" s="147"/>
      <c r="AF45" s="147"/>
      <c r="AG45" s="148"/>
      <c r="AH45" s="213"/>
      <c r="AI45" s="214"/>
      <c r="AJ45" s="214"/>
      <c r="AK45" s="214"/>
      <c r="AL45" s="215"/>
    </row>
    <row r="46" spans="1:38" ht="12.75" customHeight="1" x14ac:dyDescent="0.25">
      <c r="A46" s="25"/>
      <c r="B46" s="244" t="s">
        <v>35</v>
      </c>
      <c r="C46" s="245"/>
      <c r="D46" s="246"/>
      <c r="E46" s="252" t="s">
        <v>58</v>
      </c>
      <c r="F46" s="222"/>
      <c r="G46" s="222"/>
      <c r="H46" s="222"/>
      <c r="I46" s="104"/>
      <c r="J46" s="221"/>
      <c r="K46" s="222"/>
      <c r="L46" s="222"/>
      <c r="M46" s="222"/>
      <c r="N46" s="222"/>
      <c r="O46" s="222"/>
      <c r="P46" s="222"/>
      <c r="Q46" s="222"/>
      <c r="R46" s="222"/>
      <c r="S46" s="222"/>
      <c r="T46" s="222"/>
      <c r="U46" s="222"/>
      <c r="V46" s="222"/>
      <c r="W46" s="222"/>
      <c r="X46" s="222"/>
      <c r="Y46" s="147"/>
      <c r="Z46" s="147"/>
      <c r="AA46" s="147"/>
      <c r="AB46" s="147"/>
      <c r="AC46" s="147"/>
      <c r="AD46" s="147"/>
      <c r="AE46" s="147"/>
      <c r="AF46" s="147"/>
      <c r="AG46" s="148"/>
      <c r="AH46" s="213"/>
      <c r="AI46" s="214"/>
      <c r="AJ46" s="214"/>
      <c r="AK46" s="214"/>
      <c r="AL46" s="215"/>
    </row>
    <row r="47" spans="1:38" ht="12.75" customHeight="1" x14ac:dyDescent="0.25">
      <c r="A47" s="25"/>
      <c r="B47" s="244" t="s">
        <v>36</v>
      </c>
      <c r="C47" s="245"/>
      <c r="D47" s="246"/>
      <c r="E47" s="252" t="s">
        <v>24</v>
      </c>
      <c r="F47" s="222"/>
      <c r="G47" s="222"/>
      <c r="H47" s="222"/>
      <c r="I47" s="104"/>
      <c r="J47" s="221"/>
      <c r="K47" s="222"/>
      <c r="L47" s="222"/>
      <c r="M47" s="222"/>
      <c r="N47" s="222"/>
      <c r="O47" s="222"/>
      <c r="P47" s="222"/>
      <c r="Q47" s="222"/>
      <c r="R47" s="222"/>
      <c r="S47" s="222"/>
      <c r="T47" s="222"/>
      <c r="U47" s="222"/>
      <c r="V47" s="222"/>
      <c r="W47" s="222"/>
      <c r="X47" s="222"/>
      <c r="Y47" s="147"/>
      <c r="Z47" s="147"/>
      <c r="AA47" s="147"/>
      <c r="AB47" s="147"/>
      <c r="AC47" s="147"/>
      <c r="AD47" s="147"/>
      <c r="AE47" s="147"/>
      <c r="AF47" s="147"/>
      <c r="AG47" s="148"/>
      <c r="AH47" s="213"/>
      <c r="AI47" s="214"/>
      <c r="AJ47" s="214"/>
      <c r="AK47" s="214"/>
      <c r="AL47" s="215"/>
    </row>
    <row r="48" spans="1:38" ht="12.75" customHeight="1" x14ac:dyDescent="0.25">
      <c r="A48" s="25"/>
      <c r="B48" s="244" t="s">
        <v>36</v>
      </c>
      <c r="C48" s="245"/>
      <c r="D48" s="246"/>
      <c r="E48" s="252" t="s">
        <v>25</v>
      </c>
      <c r="F48" s="222"/>
      <c r="G48" s="222"/>
      <c r="H48" s="222"/>
      <c r="I48" s="104"/>
      <c r="J48" s="221"/>
      <c r="K48" s="222"/>
      <c r="L48" s="222"/>
      <c r="M48" s="222"/>
      <c r="N48" s="222"/>
      <c r="O48" s="222"/>
      <c r="P48" s="222"/>
      <c r="Q48" s="222"/>
      <c r="R48" s="222"/>
      <c r="S48" s="222"/>
      <c r="T48" s="222"/>
      <c r="U48" s="222"/>
      <c r="V48" s="222"/>
      <c r="W48" s="222"/>
      <c r="X48" s="222"/>
      <c r="Y48" s="147"/>
      <c r="Z48" s="147"/>
      <c r="AA48" s="147"/>
      <c r="AB48" s="147"/>
      <c r="AC48" s="147"/>
      <c r="AD48" s="147"/>
      <c r="AE48" s="147"/>
      <c r="AF48" s="147"/>
      <c r="AG48" s="148"/>
      <c r="AH48" s="213"/>
      <c r="AI48" s="214"/>
      <c r="AJ48" s="214"/>
      <c r="AK48" s="214"/>
      <c r="AL48" s="215"/>
    </row>
    <row r="49" spans="1:38" ht="12.75" customHeight="1" x14ac:dyDescent="0.25">
      <c r="A49" s="25"/>
      <c r="B49" s="244" t="s">
        <v>36</v>
      </c>
      <c r="C49" s="245"/>
      <c r="D49" s="246"/>
      <c r="E49" s="252" t="s">
        <v>27</v>
      </c>
      <c r="F49" s="222"/>
      <c r="G49" s="222"/>
      <c r="H49" s="222"/>
      <c r="I49" s="104"/>
      <c r="J49" s="221"/>
      <c r="K49" s="222"/>
      <c r="L49" s="222"/>
      <c r="M49" s="222"/>
      <c r="N49" s="222"/>
      <c r="O49" s="222"/>
      <c r="P49" s="222"/>
      <c r="Q49" s="222"/>
      <c r="R49" s="222"/>
      <c r="S49" s="222"/>
      <c r="T49" s="222"/>
      <c r="U49" s="222"/>
      <c r="V49" s="222"/>
      <c r="W49" s="222"/>
      <c r="X49" s="222"/>
      <c r="Y49" s="147"/>
      <c r="Z49" s="147"/>
      <c r="AA49" s="147"/>
      <c r="AB49" s="147"/>
      <c r="AC49" s="147"/>
      <c r="AD49" s="147"/>
      <c r="AE49" s="147"/>
      <c r="AF49" s="147"/>
      <c r="AG49" s="148"/>
      <c r="AH49" s="213"/>
      <c r="AI49" s="214"/>
      <c r="AJ49" s="214"/>
      <c r="AK49" s="214"/>
      <c r="AL49" s="215"/>
    </row>
    <row r="50" spans="1:38" ht="12.75" customHeight="1" x14ac:dyDescent="0.25">
      <c r="A50" s="25"/>
      <c r="B50" s="244" t="s">
        <v>36</v>
      </c>
      <c r="C50" s="245"/>
      <c r="D50" s="246"/>
      <c r="E50" s="252" t="s">
        <v>63</v>
      </c>
      <c r="F50" s="222"/>
      <c r="G50" s="222"/>
      <c r="H50" s="222"/>
      <c r="I50" s="104"/>
      <c r="J50" s="221"/>
      <c r="K50" s="222"/>
      <c r="L50" s="222"/>
      <c r="M50" s="222"/>
      <c r="N50" s="222"/>
      <c r="O50" s="222"/>
      <c r="P50" s="222"/>
      <c r="Q50" s="222"/>
      <c r="R50" s="222"/>
      <c r="S50" s="222"/>
      <c r="T50" s="222"/>
      <c r="U50" s="222"/>
      <c r="V50" s="222"/>
      <c r="W50" s="222"/>
      <c r="X50" s="222"/>
      <c r="Y50" s="147"/>
      <c r="Z50" s="147"/>
      <c r="AA50" s="147"/>
      <c r="AB50" s="147"/>
      <c r="AC50" s="147"/>
      <c r="AD50" s="147"/>
      <c r="AE50" s="147"/>
      <c r="AF50" s="147"/>
      <c r="AG50" s="148"/>
      <c r="AH50" s="213"/>
      <c r="AI50" s="214"/>
      <c r="AJ50" s="214"/>
      <c r="AK50" s="214"/>
      <c r="AL50" s="215"/>
    </row>
    <row r="51" spans="1:38" ht="12.75" customHeight="1" x14ac:dyDescent="0.25">
      <c r="A51" s="25"/>
      <c r="B51" s="244" t="s">
        <v>36</v>
      </c>
      <c r="C51" s="245"/>
      <c r="D51" s="246"/>
      <c r="E51" s="252" t="s">
        <v>62</v>
      </c>
      <c r="F51" s="222"/>
      <c r="G51" s="222"/>
      <c r="H51" s="222"/>
      <c r="I51" s="104"/>
      <c r="J51" s="221"/>
      <c r="K51" s="222"/>
      <c r="L51" s="222"/>
      <c r="M51" s="222"/>
      <c r="N51" s="222"/>
      <c r="O51" s="222"/>
      <c r="P51" s="222"/>
      <c r="Q51" s="222"/>
      <c r="R51" s="222"/>
      <c r="S51" s="222"/>
      <c r="T51" s="222"/>
      <c r="U51" s="222"/>
      <c r="V51" s="222"/>
      <c r="W51" s="222"/>
      <c r="X51" s="222"/>
      <c r="Y51" s="147"/>
      <c r="Z51" s="147"/>
      <c r="AA51" s="147"/>
      <c r="AB51" s="147"/>
      <c r="AC51" s="147"/>
      <c r="AD51" s="147"/>
      <c r="AE51" s="147"/>
      <c r="AF51" s="147"/>
      <c r="AG51" s="148"/>
      <c r="AH51" s="213"/>
      <c r="AI51" s="214"/>
      <c r="AJ51" s="214"/>
      <c r="AK51" s="214"/>
      <c r="AL51" s="215"/>
    </row>
    <row r="52" spans="1:38" ht="12.75" customHeight="1" x14ac:dyDescent="0.25">
      <c r="A52" s="25"/>
      <c r="B52" s="95" t="s">
        <v>36</v>
      </c>
      <c r="C52" s="102"/>
      <c r="D52" s="96"/>
      <c r="E52" s="100" t="s">
        <v>29</v>
      </c>
      <c r="F52" s="101"/>
      <c r="G52" s="101"/>
      <c r="H52" s="101"/>
      <c r="I52" s="104"/>
      <c r="J52" s="221"/>
      <c r="K52" s="222"/>
      <c r="L52" s="222"/>
      <c r="M52" s="222"/>
      <c r="N52" s="222"/>
      <c r="O52" s="222"/>
      <c r="P52" s="222"/>
      <c r="Q52" s="222"/>
      <c r="R52" s="222"/>
      <c r="S52" s="222"/>
      <c r="T52" s="222"/>
      <c r="U52" s="222"/>
      <c r="V52" s="222"/>
      <c r="W52" s="222"/>
      <c r="X52" s="222"/>
      <c r="Y52" s="147"/>
      <c r="Z52" s="147"/>
      <c r="AA52" s="147"/>
      <c r="AB52" s="147"/>
      <c r="AC52" s="147"/>
      <c r="AD52" s="147"/>
      <c r="AE52" s="147"/>
      <c r="AF52" s="147"/>
      <c r="AG52" s="148"/>
      <c r="AH52" s="213"/>
      <c r="AI52" s="214"/>
      <c r="AJ52" s="214"/>
      <c r="AK52" s="214"/>
      <c r="AL52" s="215"/>
    </row>
    <row r="53" spans="1:38" ht="83.25" customHeight="1" thickBot="1" x14ac:dyDescent="0.3">
      <c r="A53" s="25"/>
      <c r="B53" s="247" t="s">
        <v>36</v>
      </c>
      <c r="C53" s="248"/>
      <c r="D53" s="249"/>
      <c r="E53" s="324" t="s">
        <v>40</v>
      </c>
      <c r="F53" s="224"/>
      <c r="G53" s="224"/>
      <c r="H53" s="224"/>
      <c r="I53" s="105"/>
      <c r="J53" s="223"/>
      <c r="K53" s="224"/>
      <c r="L53" s="224"/>
      <c r="M53" s="224"/>
      <c r="N53" s="224"/>
      <c r="O53" s="224"/>
      <c r="P53" s="224"/>
      <c r="Q53" s="224"/>
      <c r="R53" s="224"/>
      <c r="S53" s="224"/>
      <c r="T53" s="224"/>
      <c r="U53" s="224"/>
      <c r="V53" s="224"/>
      <c r="W53" s="224"/>
      <c r="X53" s="224"/>
      <c r="Y53" s="153"/>
      <c r="Z53" s="153"/>
      <c r="AA53" s="153"/>
      <c r="AB53" s="153"/>
      <c r="AC53" s="153"/>
      <c r="AD53" s="153"/>
      <c r="AE53" s="153"/>
      <c r="AF53" s="153"/>
      <c r="AG53" s="154"/>
      <c r="AH53" s="216"/>
      <c r="AI53" s="217"/>
      <c r="AJ53" s="217"/>
      <c r="AK53" s="217"/>
      <c r="AL53" s="218"/>
    </row>
    <row r="54" spans="1:38" ht="12.75" customHeight="1" thickBot="1" x14ac:dyDescent="0.3">
      <c r="A54" s="25"/>
      <c r="B54" s="26"/>
      <c r="C54" s="26"/>
      <c r="D54" s="26"/>
      <c r="E54" s="26"/>
      <c r="F54" s="26"/>
      <c r="G54" s="26"/>
      <c r="H54" s="26"/>
      <c r="I54" s="26"/>
      <c r="J54" s="26"/>
      <c r="K54" s="26"/>
      <c r="L54" s="26"/>
      <c r="M54" s="26"/>
      <c r="N54" s="26"/>
      <c r="O54" s="26"/>
      <c r="P54" s="26"/>
      <c r="Q54" s="26"/>
      <c r="R54" s="26"/>
      <c r="S54" s="26"/>
      <c r="T54" s="26"/>
      <c r="U54" s="26"/>
      <c r="V54" s="26"/>
      <c r="W54" s="26"/>
      <c r="X54" s="26"/>
      <c r="Y54" s="26"/>
      <c r="Z54" s="242"/>
      <c r="AA54" s="243"/>
      <c r="AB54" s="243"/>
      <c r="AC54" s="243"/>
      <c r="AD54" s="243"/>
      <c r="AE54" s="243"/>
      <c r="AF54" s="243"/>
      <c r="AG54" s="25"/>
    </row>
    <row r="55" spans="1:38" ht="15.75" thickBot="1" x14ac:dyDescent="0.3">
      <c r="B55" s="318" t="s">
        <v>20</v>
      </c>
      <c r="C55" s="319"/>
      <c r="D55" s="319"/>
      <c r="E55" s="319"/>
      <c r="F55" s="319"/>
      <c r="G55" s="319"/>
      <c r="H55" s="319"/>
      <c r="I55" s="27"/>
      <c r="J55" s="122" t="s">
        <v>21</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73" t="s">
        <v>22</v>
      </c>
      <c r="AI55" s="27"/>
      <c r="AJ55" s="27"/>
      <c r="AK55" s="27"/>
      <c r="AL55" s="28"/>
    </row>
    <row r="56" spans="1:38" ht="12.75" customHeight="1" x14ac:dyDescent="0.25">
      <c r="B56" s="320" t="s">
        <v>30</v>
      </c>
      <c r="C56" s="321"/>
      <c r="D56" s="322"/>
      <c r="E56" s="321" t="s">
        <v>23</v>
      </c>
      <c r="F56" s="323"/>
      <c r="G56" s="323"/>
      <c r="H56" s="323"/>
      <c r="I56" s="29"/>
      <c r="J56" s="279" t="s">
        <v>64</v>
      </c>
      <c r="K56" s="280"/>
      <c r="L56" s="280"/>
      <c r="M56" s="280"/>
      <c r="N56" s="280"/>
      <c r="O56" s="280"/>
      <c r="P56" s="280"/>
      <c r="Q56" s="280"/>
      <c r="R56" s="280"/>
      <c r="S56" s="280"/>
      <c r="T56" s="280"/>
      <c r="U56" s="280"/>
      <c r="V56" s="280"/>
      <c r="W56" s="280"/>
      <c r="X56" s="280"/>
      <c r="Y56" s="157"/>
      <c r="Z56" s="157"/>
      <c r="AA56" s="157"/>
      <c r="AB56" s="157"/>
      <c r="AC56" s="157"/>
      <c r="AD56" s="157"/>
      <c r="AE56" s="157"/>
      <c r="AF56" s="157"/>
      <c r="AG56" s="158"/>
      <c r="AH56" s="170" t="s">
        <v>61</v>
      </c>
      <c r="AI56" s="171"/>
      <c r="AJ56" s="171"/>
      <c r="AK56" s="171"/>
      <c r="AL56" s="172"/>
    </row>
    <row r="57" spans="1:38" ht="12.75" customHeight="1" x14ac:dyDescent="0.25">
      <c r="B57" s="238" t="s">
        <v>78</v>
      </c>
      <c r="C57" s="236"/>
      <c r="D57" s="239"/>
      <c r="E57" s="236" t="s">
        <v>26</v>
      </c>
      <c r="F57" s="237"/>
      <c r="G57" s="237"/>
      <c r="H57" s="237"/>
      <c r="I57" s="30"/>
      <c r="J57" s="281"/>
      <c r="K57" s="237"/>
      <c r="L57" s="237"/>
      <c r="M57" s="237"/>
      <c r="N57" s="237"/>
      <c r="O57" s="237"/>
      <c r="P57" s="237"/>
      <c r="Q57" s="237"/>
      <c r="R57" s="237"/>
      <c r="S57" s="237"/>
      <c r="T57" s="237"/>
      <c r="U57" s="237"/>
      <c r="V57" s="237"/>
      <c r="W57" s="237"/>
      <c r="X57" s="237"/>
      <c r="Y57" s="147"/>
      <c r="Z57" s="147"/>
      <c r="AA57" s="147"/>
      <c r="AB57" s="147"/>
      <c r="AC57" s="147"/>
      <c r="AD57" s="147"/>
      <c r="AE57" s="147"/>
      <c r="AF57" s="147"/>
      <c r="AG57" s="148"/>
      <c r="AH57" s="173"/>
      <c r="AI57" s="173"/>
      <c r="AJ57" s="173"/>
      <c r="AK57" s="173"/>
      <c r="AL57" s="174"/>
    </row>
    <row r="58" spans="1:38" ht="12.75" customHeight="1" x14ac:dyDescent="0.25">
      <c r="B58" s="238" t="s">
        <v>33</v>
      </c>
      <c r="C58" s="236"/>
      <c r="D58" s="239"/>
      <c r="E58" s="236" t="s">
        <v>28</v>
      </c>
      <c r="F58" s="237"/>
      <c r="G58" s="237"/>
      <c r="H58" s="237"/>
      <c r="I58" s="30"/>
      <c r="J58" s="281"/>
      <c r="K58" s="237"/>
      <c r="L58" s="237"/>
      <c r="M58" s="237"/>
      <c r="N58" s="237"/>
      <c r="O58" s="237"/>
      <c r="P58" s="237"/>
      <c r="Q58" s="237"/>
      <c r="R58" s="237"/>
      <c r="S58" s="237"/>
      <c r="T58" s="237"/>
      <c r="U58" s="237"/>
      <c r="V58" s="237"/>
      <c r="W58" s="237"/>
      <c r="X58" s="237"/>
      <c r="Y58" s="147"/>
      <c r="Z58" s="147"/>
      <c r="AA58" s="147"/>
      <c r="AB58" s="147"/>
      <c r="AC58" s="147"/>
      <c r="AD58" s="147"/>
      <c r="AE58" s="147"/>
      <c r="AF58" s="147"/>
      <c r="AG58" s="148"/>
      <c r="AH58" s="173"/>
      <c r="AI58" s="173"/>
      <c r="AJ58" s="173"/>
      <c r="AK58" s="173"/>
      <c r="AL58" s="174"/>
    </row>
    <row r="59" spans="1:38" ht="12.75" customHeight="1" x14ac:dyDescent="0.25">
      <c r="B59" s="238" t="s">
        <v>34</v>
      </c>
      <c r="C59" s="236"/>
      <c r="D59" s="239"/>
      <c r="E59" s="236" t="s">
        <v>32</v>
      </c>
      <c r="F59" s="237"/>
      <c r="G59" s="237"/>
      <c r="H59" s="237"/>
      <c r="I59" s="30"/>
      <c r="J59" s="281"/>
      <c r="K59" s="237"/>
      <c r="L59" s="237"/>
      <c r="M59" s="237"/>
      <c r="N59" s="237"/>
      <c r="O59" s="237"/>
      <c r="P59" s="237"/>
      <c r="Q59" s="237"/>
      <c r="R59" s="237"/>
      <c r="S59" s="237"/>
      <c r="T59" s="237"/>
      <c r="U59" s="237"/>
      <c r="V59" s="237"/>
      <c r="W59" s="237"/>
      <c r="X59" s="237"/>
      <c r="Y59" s="147"/>
      <c r="Z59" s="147"/>
      <c r="AA59" s="147"/>
      <c r="AB59" s="147"/>
      <c r="AC59" s="147"/>
      <c r="AD59" s="147"/>
      <c r="AE59" s="147"/>
      <c r="AF59" s="147"/>
      <c r="AG59" s="148"/>
      <c r="AH59" s="173"/>
      <c r="AI59" s="173"/>
      <c r="AJ59" s="173"/>
      <c r="AK59" s="173"/>
      <c r="AL59" s="174"/>
    </row>
    <row r="60" spans="1:38" ht="12.75" customHeight="1" x14ac:dyDescent="0.25">
      <c r="B60" s="238" t="s">
        <v>34</v>
      </c>
      <c r="C60" s="236"/>
      <c r="D60" s="239"/>
      <c r="E60" s="81" t="s">
        <v>57</v>
      </c>
      <c r="F60" s="30"/>
      <c r="G60" s="30"/>
      <c r="H60" s="30"/>
      <c r="I60" s="30"/>
      <c r="J60" s="281"/>
      <c r="K60" s="237"/>
      <c r="L60" s="237"/>
      <c r="M60" s="237"/>
      <c r="N60" s="237"/>
      <c r="O60" s="237"/>
      <c r="P60" s="237"/>
      <c r="Q60" s="237"/>
      <c r="R60" s="237"/>
      <c r="S60" s="237"/>
      <c r="T60" s="237"/>
      <c r="U60" s="237"/>
      <c r="V60" s="237"/>
      <c r="W60" s="237"/>
      <c r="X60" s="237"/>
      <c r="Y60" s="147"/>
      <c r="Z60" s="147"/>
      <c r="AA60" s="147"/>
      <c r="AB60" s="147"/>
      <c r="AC60" s="147"/>
      <c r="AD60" s="147"/>
      <c r="AE60" s="147"/>
      <c r="AF60" s="147"/>
      <c r="AG60" s="148"/>
      <c r="AH60" s="173"/>
      <c r="AI60" s="173"/>
      <c r="AJ60" s="173"/>
      <c r="AK60" s="173"/>
      <c r="AL60" s="174"/>
    </row>
    <row r="61" spans="1:38" ht="12.75" customHeight="1" x14ac:dyDescent="0.25">
      <c r="B61" s="238" t="s">
        <v>69</v>
      </c>
      <c r="C61" s="236"/>
      <c r="D61" s="239"/>
      <c r="E61" s="236" t="s">
        <v>67</v>
      </c>
      <c r="F61" s="237"/>
      <c r="G61" s="237"/>
      <c r="H61" s="237"/>
      <c r="I61" s="30"/>
      <c r="J61" s="281"/>
      <c r="K61" s="237"/>
      <c r="L61" s="237"/>
      <c r="M61" s="237"/>
      <c r="N61" s="237"/>
      <c r="O61" s="237"/>
      <c r="P61" s="237"/>
      <c r="Q61" s="237"/>
      <c r="R61" s="237"/>
      <c r="S61" s="237"/>
      <c r="T61" s="237"/>
      <c r="U61" s="237"/>
      <c r="V61" s="237"/>
      <c r="W61" s="237"/>
      <c r="X61" s="237"/>
      <c r="Y61" s="147"/>
      <c r="Z61" s="147"/>
      <c r="AA61" s="147"/>
      <c r="AB61" s="147"/>
      <c r="AC61" s="147"/>
      <c r="AD61" s="147"/>
      <c r="AE61" s="147"/>
      <c r="AF61" s="147"/>
      <c r="AG61" s="148"/>
      <c r="AH61" s="173"/>
      <c r="AI61" s="173"/>
      <c r="AJ61" s="173"/>
      <c r="AK61" s="173"/>
      <c r="AL61" s="174"/>
    </row>
    <row r="62" spans="1:38" ht="12.75" customHeight="1" x14ac:dyDescent="0.25">
      <c r="B62" s="238" t="s">
        <v>69</v>
      </c>
      <c r="C62" s="236"/>
      <c r="D62" s="239"/>
      <c r="E62" s="236" t="s">
        <v>38</v>
      </c>
      <c r="F62" s="237"/>
      <c r="G62" s="237"/>
      <c r="H62" s="237"/>
      <c r="I62" s="30"/>
      <c r="J62" s="281"/>
      <c r="K62" s="237"/>
      <c r="L62" s="237"/>
      <c r="M62" s="237"/>
      <c r="N62" s="237"/>
      <c r="O62" s="237"/>
      <c r="P62" s="237"/>
      <c r="Q62" s="237"/>
      <c r="R62" s="237"/>
      <c r="S62" s="237"/>
      <c r="T62" s="237"/>
      <c r="U62" s="237"/>
      <c r="V62" s="237"/>
      <c r="W62" s="237"/>
      <c r="X62" s="237"/>
      <c r="Y62" s="147"/>
      <c r="Z62" s="147"/>
      <c r="AA62" s="147"/>
      <c r="AB62" s="147"/>
      <c r="AC62" s="147"/>
      <c r="AD62" s="147"/>
      <c r="AE62" s="147"/>
      <c r="AF62" s="147"/>
      <c r="AG62" s="148"/>
      <c r="AH62" s="173"/>
      <c r="AI62" s="173"/>
      <c r="AJ62" s="173"/>
      <c r="AK62" s="173"/>
      <c r="AL62" s="174"/>
    </row>
    <row r="63" spans="1:38" ht="77.25" customHeight="1" thickBot="1" x14ac:dyDescent="0.3">
      <c r="B63" s="315"/>
      <c r="C63" s="316"/>
      <c r="D63" s="317"/>
      <c r="E63" s="316"/>
      <c r="F63" s="283"/>
      <c r="G63" s="283"/>
      <c r="H63" s="283"/>
      <c r="I63" s="31"/>
      <c r="J63" s="282"/>
      <c r="K63" s="283"/>
      <c r="L63" s="283"/>
      <c r="M63" s="283"/>
      <c r="N63" s="283"/>
      <c r="O63" s="283"/>
      <c r="P63" s="283"/>
      <c r="Q63" s="283"/>
      <c r="R63" s="283"/>
      <c r="S63" s="283"/>
      <c r="T63" s="283"/>
      <c r="U63" s="283"/>
      <c r="V63" s="283"/>
      <c r="W63" s="283"/>
      <c r="X63" s="283"/>
      <c r="Y63" s="153"/>
      <c r="Z63" s="153"/>
      <c r="AA63" s="153"/>
      <c r="AB63" s="153"/>
      <c r="AC63" s="153"/>
      <c r="AD63" s="153"/>
      <c r="AE63" s="153"/>
      <c r="AF63" s="153"/>
      <c r="AG63" s="154"/>
      <c r="AH63" s="175"/>
      <c r="AI63" s="175"/>
      <c r="AJ63" s="175"/>
      <c r="AK63" s="175"/>
      <c r="AL63" s="176"/>
    </row>
    <row r="64" spans="1:38" ht="12.75" customHeight="1" thickBot="1" x14ac:dyDescent="0.3"/>
    <row r="65" spans="2:38" ht="15.75" thickBot="1" x14ac:dyDescent="0.3">
      <c r="B65" s="230" t="s">
        <v>39</v>
      </c>
      <c r="C65" s="231"/>
      <c r="D65" s="231"/>
      <c r="E65" s="231"/>
      <c r="F65" s="231"/>
      <c r="G65" s="231"/>
      <c r="H65" s="231"/>
      <c r="I65" s="32"/>
      <c r="J65" s="197" t="s">
        <v>21</v>
      </c>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72" t="s">
        <v>22</v>
      </c>
      <c r="AI65" s="32"/>
      <c r="AJ65" s="32"/>
      <c r="AK65" s="32"/>
      <c r="AL65" s="33"/>
    </row>
    <row r="66" spans="2:38" ht="12.75" customHeight="1" x14ac:dyDescent="0.25">
      <c r="B66" s="232" t="s">
        <v>30</v>
      </c>
      <c r="C66" s="233"/>
      <c r="D66" s="233"/>
      <c r="E66" s="234" t="s">
        <v>27</v>
      </c>
      <c r="F66" s="235"/>
      <c r="G66" s="235"/>
      <c r="H66" s="235"/>
      <c r="I66" s="63"/>
      <c r="J66" s="198" t="s">
        <v>49</v>
      </c>
      <c r="K66" s="199"/>
      <c r="L66" s="199"/>
      <c r="M66" s="199"/>
      <c r="N66" s="199"/>
      <c r="O66" s="199"/>
      <c r="P66" s="199"/>
      <c r="Q66" s="199"/>
      <c r="R66" s="199"/>
      <c r="S66" s="199"/>
      <c r="T66" s="199"/>
      <c r="U66" s="199"/>
      <c r="V66" s="199"/>
      <c r="W66" s="199"/>
      <c r="X66" s="199"/>
      <c r="Y66" s="157"/>
      <c r="Z66" s="157"/>
      <c r="AA66" s="157"/>
      <c r="AB66" s="157"/>
      <c r="AC66" s="157"/>
      <c r="AD66" s="157"/>
      <c r="AE66" s="157"/>
      <c r="AF66" s="157"/>
      <c r="AG66" s="158"/>
      <c r="AH66" s="177" t="s">
        <v>74</v>
      </c>
      <c r="AI66" s="178"/>
      <c r="AJ66" s="178"/>
      <c r="AK66" s="178"/>
      <c r="AL66" s="179"/>
    </row>
    <row r="67" spans="2:38" ht="12.75" customHeight="1" x14ac:dyDescent="0.25">
      <c r="B67" s="227" t="s">
        <v>78</v>
      </c>
      <c r="C67" s="228"/>
      <c r="D67" s="228"/>
      <c r="E67" s="229" t="s">
        <v>29</v>
      </c>
      <c r="F67" s="201"/>
      <c r="G67" s="201"/>
      <c r="H67" s="201"/>
      <c r="I67" s="64"/>
      <c r="J67" s="200"/>
      <c r="K67" s="201"/>
      <c r="L67" s="201"/>
      <c r="M67" s="201"/>
      <c r="N67" s="201"/>
      <c r="O67" s="201"/>
      <c r="P67" s="201"/>
      <c r="Q67" s="201"/>
      <c r="R67" s="201"/>
      <c r="S67" s="201"/>
      <c r="T67" s="201"/>
      <c r="U67" s="201"/>
      <c r="V67" s="201"/>
      <c r="W67" s="201"/>
      <c r="X67" s="201"/>
      <c r="Y67" s="147"/>
      <c r="Z67" s="147"/>
      <c r="AA67" s="147"/>
      <c r="AB67" s="147"/>
      <c r="AC67" s="147"/>
      <c r="AD67" s="147"/>
      <c r="AE67" s="147"/>
      <c r="AF67" s="147"/>
      <c r="AG67" s="148"/>
      <c r="AH67" s="180"/>
      <c r="AI67" s="180"/>
      <c r="AJ67" s="180"/>
      <c r="AK67" s="180"/>
      <c r="AL67" s="181"/>
    </row>
    <row r="68" spans="2:38" ht="12.75" customHeight="1" x14ac:dyDescent="0.25">
      <c r="B68" s="227"/>
      <c r="C68" s="228"/>
      <c r="D68" s="228"/>
      <c r="E68" s="229" t="s">
        <v>63</v>
      </c>
      <c r="F68" s="201"/>
      <c r="G68" s="201"/>
      <c r="H68" s="201"/>
      <c r="I68" s="64"/>
      <c r="J68" s="200"/>
      <c r="K68" s="201"/>
      <c r="L68" s="201"/>
      <c r="M68" s="201"/>
      <c r="N68" s="201"/>
      <c r="O68" s="201"/>
      <c r="P68" s="201"/>
      <c r="Q68" s="201"/>
      <c r="R68" s="201"/>
      <c r="S68" s="201"/>
      <c r="T68" s="201"/>
      <c r="U68" s="201"/>
      <c r="V68" s="201"/>
      <c r="W68" s="201"/>
      <c r="X68" s="201"/>
      <c r="Y68" s="147"/>
      <c r="Z68" s="147"/>
      <c r="AA68" s="147"/>
      <c r="AB68" s="147"/>
      <c r="AC68" s="147"/>
      <c r="AD68" s="147"/>
      <c r="AE68" s="147"/>
      <c r="AF68" s="147"/>
      <c r="AG68" s="148"/>
      <c r="AH68" s="180"/>
      <c r="AI68" s="180"/>
      <c r="AJ68" s="180"/>
      <c r="AK68" s="180"/>
      <c r="AL68" s="181"/>
    </row>
    <row r="69" spans="2:38" ht="12.75" customHeight="1" x14ac:dyDescent="0.25">
      <c r="B69" s="227" t="s">
        <v>34</v>
      </c>
      <c r="C69" s="228"/>
      <c r="D69" s="228"/>
      <c r="E69" s="79" t="s">
        <v>57</v>
      </c>
      <c r="F69" s="80"/>
      <c r="G69" s="80"/>
      <c r="H69" s="80"/>
      <c r="I69" s="64"/>
      <c r="J69" s="200"/>
      <c r="K69" s="201"/>
      <c r="L69" s="201"/>
      <c r="M69" s="201"/>
      <c r="N69" s="201"/>
      <c r="O69" s="201"/>
      <c r="P69" s="201"/>
      <c r="Q69" s="201"/>
      <c r="R69" s="201"/>
      <c r="S69" s="201"/>
      <c r="T69" s="201"/>
      <c r="U69" s="201"/>
      <c r="V69" s="201"/>
      <c r="W69" s="201"/>
      <c r="X69" s="201"/>
      <c r="Y69" s="147"/>
      <c r="Z69" s="147"/>
      <c r="AA69" s="147"/>
      <c r="AB69" s="147"/>
      <c r="AC69" s="147"/>
      <c r="AD69" s="147"/>
      <c r="AE69" s="147"/>
      <c r="AF69" s="147"/>
      <c r="AG69" s="148"/>
      <c r="AH69" s="180"/>
      <c r="AI69" s="180"/>
      <c r="AJ69" s="180"/>
      <c r="AK69" s="180"/>
      <c r="AL69" s="181"/>
    </row>
    <row r="70" spans="2:38" ht="12.75" customHeight="1" x14ac:dyDescent="0.25">
      <c r="B70" s="227"/>
      <c r="C70" s="228"/>
      <c r="D70" s="228"/>
      <c r="E70" s="229" t="s">
        <v>24</v>
      </c>
      <c r="F70" s="201"/>
      <c r="G70" s="201"/>
      <c r="H70" s="201"/>
      <c r="I70" s="64"/>
      <c r="J70" s="200"/>
      <c r="K70" s="201"/>
      <c r="L70" s="201"/>
      <c r="M70" s="201"/>
      <c r="N70" s="201"/>
      <c r="O70" s="201"/>
      <c r="P70" s="201"/>
      <c r="Q70" s="201"/>
      <c r="R70" s="201"/>
      <c r="S70" s="201"/>
      <c r="T70" s="201"/>
      <c r="U70" s="201"/>
      <c r="V70" s="201"/>
      <c r="W70" s="201"/>
      <c r="X70" s="201"/>
      <c r="Y70" s="147"/>
      <c r="Z70" s="147"/>
      <c r="AA70" s="147"/>
      <c r="AB70" s="147"/>
      <c r="AC70" s="147"/>
      <c r="AD70" s="147"/>
      <c r="AE70" s="147"/>
      <c r="AF70" s="147"/>
      <c r="AG70" s="148"/>
      <c r="AH70" s="180"/>
      <c r="AI70" s="180"/>
      <c r="AJ70" s="180"/>
      <c r="AK70" s="180"/>
      <c r="AL70" s="181"/>
    </row>
    <row r="71" spans="2:38" ht="12.75" customHeight="1" x14ac:dyDescent="0.25">
      <c r="B71" s="227" t="s">
        <v>69</v>
      </c>
      <c r="C71" s="228"/>
      <c r="D71" s="228"/>
      <c r="E71" s="229" t="s">
        <v>47</v>
      </c>
      <c r="F71" s="228"/>
      <c r="G71" s="228"/>
      <c r="H71" s="228"/>
      <c r="I71" s="64"/>
      <c r="J71" s="200"/>
      <c r="K71" s="201"/>
      <c r="L71" s="201"/>
      <c r="M71" s="201"/>
      <c r="N71" s="201"/>
      <c r="O71" s="201"/>
      <c r="P71" s="201"/>
      <c r="Q71" s="201"/>
      <c r="R71" s="201"/>
      <c r="S71" s="201"/>
      <c r="T71" s="201"/>
      <c r="U71" s="201"/>
      <c r="V71" s="201"/>
      <c r="W71" s="201"/>
      <c r="X71" s="201"/>
      <c r="Y71" s="147"/>
      <c r="Z71" s="147"/>
      <c r="AA71" s="147"/>
      <c r="AB71" s="147"/>
      <c r="AC71" s="147"/>
      <c r="AD71" s="147"/>
      <c r="AE71" s="147"/>
      <c r="AF71" s="147"/>
      <c r="AG71" s="148"/>
      <c r="AH71" s="180"/>
      <c r="AI71" s="180"/>
      <c r="AJ71" s="180"/>
      <c r="AK71" s="180"/>
      <c r="AL71" s="181"/>
    </row>
    <row r="72" spans="2:38" ht="38.450000000000003" customHeight="1" thickBot="1" x14ac:dyDescent="0.3">
      <c r="B72" s="297"/>
      <c r="C72" s="298"/>
      <c r="D72" s="298"/>
      <c r="E72" s="299"/>
      <c r="F72" s="203"/>
      <c r="G72" s="203"/>
      <c r="H72" s="203"/>
      <c r="I72" s="65"/>
      <c r="J72" s="202"/>
      <c r="K72" s="203"/>
      <c r="L72" s="203"/>
      <c r="M72" s="203"/>
      <c r="N72" s="203"/>
      <c r="O72" s="203"/>
      <c r="P72" s="203"/>
      <c r="Q72" s="203"/>
      <c r="R72" s="203"/>
      <c r="S72" s="203"/>
      <c r="T72" s="203"/>
      <c r="U72" s="203"/>
      <c r="V72" s="203"/>
      <c r="W72" s="203"/>
      <c r="X72" s="203"/>
      <c r="Y72" s="153"/>
      <c r="Z72" s="153"/>
      <c r="AA72" s="153"/>
      <c r="AB72" s="153"/>
      <c r="AC72" s="153"/>
      <c r="AD72" s="153"/>
      <c r="AE72" s="153"/>
      <c r="AF72" s="153"/>
      <c r="AG72" s="154"/>
      <c r="AH72" s="182"/>
      <c r="AI72" s="182"/>
      <c r="AJ72" s="182"/>
      <c r="AK72" s="182"/>
      <c r="AL72" s="183"/>
    </row>
    <row r="73" spans="2:38" ht="17.25" customHeight="1" x14ac:dyDescent="0.25">
      <c r="B73" s="89"/>
      <c r="C73" s="90"/>
      <c r="D73" s="90"/>
      <c r="E73" s="90"/>
      <c r="F73" s="6"/>
      <c r="G73" s="6"/>
      <c r="H73" s="6"/>
      <c r="I73" s="6"/>
      <c r="J73" s="6"/>
      <c r="K73" s="6"/>
      <c r="L73" s="6"/>
      <c r="M73" s="6"/>
      <c r="N73" s="6"/>
      <c r="O73" s="6"/>
      <c r="P73" s="6"/>
      <c r="Q73" s="6"/>
      <c r="R73" s="6"/>
      <c r="S73" s="6"/>
      <c r="T73" s="6"/>
      <c r="U73" s="6"/>
      <c r="V73" s="6"/>
      <c r="W73" s="6"/>
      <c r="X73" s="6"/>
      <c r="AH73" s="91"/>
      <c r="AI73" s="91"/>
      <c r="AJ73" s="91"/>
      <c r="AK73" s="91"/>
      <c r="AL73" s="91"/>
    </row>
    <row r="74" spans="2:38" ht="17.25" customHeight="1" x14ac:dyDescent="0.25">
      <c r="B74" s="89"/>
      <c r="C74" s="90"/>
      <c r="D74" s="90"/>
      <c r="E74" s="90"/>
      <c r="F74" s="6"/>
      <c r="G74" s="6"/>
      <c r="H74" s="6"/>
      <c r="I74" s="6"/>
      <c r="J74" s="6"/>
      <c r="K74" s="6"/>
      <c r="L74" s="6"/>
      <c r="M74" s="6"/>
      <c r="N74" s="6"/>
      <c r="O74" s="6"/>
      <c r="P74" s="6"/>
      <c r="Q74" s="6"/>
      <c r="R74" s="6"/>
      <c r="S74" s="6"/>
      <c r="T74" s="6"/>
      <c r="U74" s="6"/>
      <c r="V74" s="6"/>
      <c r="W74" s="6"/>
      <c r="X74" s="6"/>
      <c r="AH74" s="91"/>
      <c r="AI74" s="91"/>
      <c r="AJ74" s="91"/>
      <c r="AK74" s="91"/>
      <c r="AL74" s="91"/>
    </row>
    <row r="75" spans="2:38" ht="17.25" customHeight="1" x14ac:dyDescent="0.25">
      <c r="B75" s="89"/>
      <c r="C75" s="90"/>
      <c r="D75" s="90"/>
      <c r="E75" s="90"/>
      <c r="F75" s="6"/>
      <c r="G75" s="6"/>
      <c r="H75" s="6"/>
      <c r="I75" s="6"/>
      <c r="J75" s="6"/>
      <c r="K75" s="6"/>
      <c r="L75" s="6"/>
      <c r="M75" s="6"/>
      <c r="N75" s="6"/>
      <c r="O75" s="6"/>
      <c r="P75" s="6"/>
      <c r="Q75" s="6"/>
      <c r="R75" s="6"/>
      <c r="S75" s="6"/>
      <c r="T75" s="6"/>
      <c r="U75" s="6"/>
      <c r="V75" s="6"/>
      <c r="W75" s="6"/>
      <c r="X75" s="6"/>
      <c r="AH75" s="91"/>
      <c r="AI75" s="91"/>
      <c r="AJ75" s="91"/>
      <c r="AK75" s="91"/>
      <c r="AL75" s="91"/>
    </row>
    <row r="76" spans="2:38" ht="17.25" customHeight="1" x14ac:dyDescent="0.25">
      <c r="B76" s="89"/>
      <c r="C76" s="90"/>
      <c r="D76" s="90"/>
      <c r="E76" s="90"/>
      <c r="F76" s="6"/>
      <c r="G76" s="6"/>
      <c r="H76" s="6"/>
      <c r="I76" s="6"/>
      <c r="J76" s="6"/>
      <c r="K76" s="6"/>
      <c r="L76" s="6"/>
      <c r="M76" s="6"/>
      <c r="N76" s="6"/>
      <c r="O76" s="6"/>
      <c r="P76" s="6"/>
      <c r="Q76" s="6"/>
      <c r="R76" s="6"/>
      <c r="S76" s="6"/>
      <c r="T76" s="6"/>
      <c r="U76" s="6"/>
      <c r="V76" s="6"/>
      <c r="W76" s="6"/>
      <c r="X76" s="6"/>
      <c r="AH76" s="91"/>
      <c r="AI76" s="91"/>
      <c r="AJ76" s="91"/>
      <c r="AK76" s="91"/>
      <c r="AL76" s="91"/>
    </row>
    <row r="77" spans="2:38" ht="13.15" customHeight="1" thickBot="1" x14ac:dyDescent="0.3">
      <c r="B77" s="89"/>
      <c r="C77" s="90"/>
      <c r="D77" s="90"/>
      <c r="E77" s="90"/>
      <c r="F77" s="6"/>
      <c r="G77" s="6"/>
      <c r="H77" s="6"/>
      <c r="I77" s="6"/>
      <c r="J77" s="6"/>
      <c r="K77" s="6"/>
      <c r="L77" s="6"/>
      <c r="M77" s="6"/>
      <c r="N77" s="6"/>
      <c r="O77" s="6"/>
      <c r="P77" s="6"/>
      <c r="Q77" s="6"/>
      <c r="R77" s="6"/>
      <c r="S77" s="6"/>
      <c r="T77" s="6"/>
      <c r="U77" s="6"/>
      <c r="V77" s="6"/>
      <c r="W77" s="6"/>
      <c r="X77" s="6"/>
      <c r="AH77" s="91"/>
      <c r="AI77" s="91"/>
      <c r="AJ77" s="91"/>
      <c r="AK77" s="91"/>
      <c r="AL77" s="91"/>
    </row>
    <row r="78" spans="2:38" ht="15.75" thickBot="1" x14ac:dyDescent="0.3">
      <c r="B78" s="325" t="s">
        <v>41</v>
      </c>
      <c r="C78" s="326"/>
      <c r="D78" s="326"/>
      <c r="E78" s="326"/>
      <c r="F78" s="326"/>
      <c r="G78" s="326"/>
      <c r="H78" s="326"/>
      <c r="I78" s="327"/>
      <c r="J78" s="169" t="s">
        <v>21</v>
      </c>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67"/>
      <c r="AH78" s="34" t="s">
        <v>22</v>
      </c>
      <c r="AI78" s="34"/>
      <c r="AJ78" s="34"/>
      <c r="AK78" s="34"/>
      <c r="AL78" s="35"/>
    </row>
    <row r="79" spans="2:38" ht="12.75" customHeight="1" x14ac:dyDescent="0.25">
      <c r="B79" s="300" t="s">
        <v>30</v>
      </c>
      <c r="C79" s="301"/>
      <c r="D79" s="301"/>
      <c r="E79" s="302" t="s">
        <v>28</v>
      </c>
      <c r="F79" s="303"/>
      <c r="G79" s="303"/>
      <c r="H79" s="303"/>
      <c r="I79" s="36"/>
      <c r="J79" s="191" t="s">
        <v>54</v>
      </c>
      <c r="K79" s="192"/>
      <c r="L79" s="192"/>
      <c r="M79" s="192"/>
      <c r="N79" s="192"/>
      <c r="O79" s="192"/>
      <c r="P79" s="192"/>
      <c r="Q79" s="192"/>
      <c r="R79" s="192"/>
      <c r="S79" s="192"/>
      <c r="T79" s="192"/>
      <c r="U79" s="192"/>
      <c r="V79" s="192"/>
      <c r="W79" s="192"/>
      <c r="X79" s="192"/>
      <c r="Y79" s="157"/>
      <c r="Z79" s="157"/>
      <c r="AA79" s="157"/>
      <c r="AB79" s="157"/>
      <c r="AC79" s="157"/>
      <c r="AD79" s="157"/>
      <c r="AE79" s="157"/>
      <c r="AF79" s="157"/>
      <c r="AG79" s="158"/>
      <c r="AH79" s="184" t="s">
        <v>72</v>
      </c>
      <c r="AI79" s="185"/>
      <c r="AJ79" s="185"/>
      <c r="AK79" s="185"/>
      <c r="AL79" s="186"/>
    </row>
    <row r="80" spans="2:38" ht="12.75" customHeight="1" x14ac:dyDescent="0.25">
      <c r="B80" s="270" t="s">
        <v>78</v>
      </c>
      <c r="C80" s="271"/>
      <c r="D80" s="271"/>
      <c r="E80" s="272" t="s">
        <v>62</v>
      </c>
      <c r="F80" s="273"/>
      <c r="G80" s="273"/>
      <c r="H80" s="273"/>
      <c r="I80" s="37"/>
      <c r="J80" s="193"/>
      <c r="K80" s="194"/>
      <c r="L80" s="194"/>
      <c r="M80" s="194"/>
      <c r="N80" s="194"/>
      <c r="O80" s="194"/>
      <c r="P80" s="194"/>
      <c r="Q80" s="194"/>
      <c r="R80" s="194"/>
      <c r="S80" s="194"/>
      <c r="T80" s="194"/>
      <c r="U80" s="194"/>
      <c r="V80" s="194"/>
      <c r="W80" s="194"/>
      <c r="X80" s="194"/>
      <c r="Y80" s="147"/>
      <c r="Z80" s="147"/>
      <c r="AA80" s="147"/>
      <c r="AB80" s="147"/>
      <c r="AC80" s="147"/>
      <c r="AD80" s="147"/>
      <c r="AE80" s="147"/>
      <c r="AF80" s="147"/>
      <c r="AG80" s="148"/>
      <c r="AH80" s="187"/>
      <c r="AI80" s="187"/>
      <c r="AJ80" s="187"/>
      <c r="AK80" s="187"/>
      <c r="AL80" s="188"/>
    </row>
    <row r="81" spans="2:38" ht="12.75" customHeight="1" x14ac:dyDescent="0.25">
      <c r="B81" s="270"/>
      <c r="C81" s="271"/>
      <c r="D81" s="271"/>
      <c r="E81" s="272" t="s">
        <v>63</v>
      </c>
      <c r="F81" s="273"/>
      <c r="G81" s="273"/>
      <c r="H81" s="273"/>
      <c r="I81" s="37"/>
      <c r="J81" s="193"/>
      <c r="K81" s="194"/>
      <c r="L81" s="194"/>
      <c r="M81" s="194"/>
      <c r="N81" s="194"/>
      <c r="O81" s="194"/>
      <c r="P81" s="194"/>
      <c r="Q81" s="194"/>
      <c r="R81" s="194"/>
      <c r="S81" s="194"/>
      <c r="T81" s="194"/>
      <c r="U81" s="194"/>
      <c r="V81" s="194"/>
      <c r="W81" s="194"/>
      <c r="X81" s="194"/>
      <c r="Y81" s="147"/>
      <c r="Z81" s="147"/>
      <c r="AA81" s="147"/>
      <c r="AB81" s="147"/>
      <c r="AC81" s="147"/>
      <c r="AD81" s="147"/>
      <c r="AE81" s="147"/>
      <c r="AF81" s="147"/>
      <c r="AG81" s="148"/>
      <c r="AH81" s="187"/>
      <c r="AI81" s="187"/>
      <c r="AJ81" s="187"/>
      <c r="AK81" s="187"/>
      <c r="AL81" s="188"/>
    </row>
    <row r="82" spans="2:38" ht="12.75" customHeight="1" x14ac:dyDescent="0.25">
      <c r="B82" s="270" t="s">
        <v>34</v>
      </c>
      <c r="C82" s="271"/>
      <c r="D82" s="271"/>
      <c r="E82" s="272" t="s">
        <v>59</v>
      </c>
      <c r="F82" s="273"/>
      <c r="G82" s="273"/>
      <c r="H82" s="273"/>
      <c r="I82" s="37"/>
      <c r="J82" s="193"/>
      <c r="K82" s="194"/>
      <c r="L82" s="194"/>
      <c r="M82" s="194"/>
      <c r="N82" s="194"/>
      <c r="O82" s="194"/>
      <c r="P82" s="194"/>
      <c r="Q82" s="194"/>
      <c r="R82" s="194"/>
      <c r="S82" s="194"/>
      <c r="T82" s="194"/>
      <c r="U82" s="194"/>
      <c r="V82" s="194"/>
      <c r="W82" s="194"/>
      <c r="X82" s="194"/>
      <c r="Y82" s="147"/>
      <c r="Z82" s="147"/>
      <c r="AA82" s="147"/>
      <c r="AB82" s="147"/>
      <c r="AC82" s="147"/>
      <c r="AD82" s="147"/>
      <c r="AE82" s="147"/>
      <c r="AF82" s="147"/>
      <c r="AG82" s="148"/>
      <c r="AH82" s="187"/>
      <c r="AI82" s="187"/>
      <c r="AJ82" s="187"/>
      <c r="AK82" s="187"/>
      <c r="AL82" s="188"/>
    </row>
    <row r="83" spans="2:38" ht="12.75" customHeight="1" x14ac:dyDescent="0.25">
      <c r="B83" s="270"/>
      <c r="C83" s="271"/>
      <c r="D83" s="271"/>
      <c r="E83" s="272" t="s">
        <v>25</v>
      </c>
      <c r="F83" s="273"/>
      <c r="G83" s="273"/>
      <c r="H83" s="273"/>
      <c r="I83" s="304"/>
      <c r="J83" s="193"/>
      <c r="K83" s="194"/>
      <c r="L83" s="194"/>
      <c r="M83" s="194"/>
      <c r="N83" s="194"/>
      <c r="O83" s="194"/>
      <c r="P83" s="194"/>
      <c r="Q83" s="194"/>
      <c r="R83" s="194"/>
      <c r="S83" s="194"/>
      <c r="T83" s="194"/>
      <c r="U83" s="194"/>
      <c r="V83" s="194"/>
      <c r="W83" s="194"/>
      <c r="X83" s="194"/>
      <c r="Y83" s="147"/>
      <c r="Z83" s="147"/>
      <c r="AA83" s="147"/>
      <c r="AB83" s="147"/>
      <c r="AC83" s="147"/>
      <c r="AD83" s="147"/>
      <c r="AE83" s="147"/>
      <c r="AF83" s="147"/>
      <c r="AG83" s="148"/>
      <c r="AH83" s="187"/>
      <c r="AI83" s="187"/>
      <c r="AJ83" s="187"/>
      <c r="AK83" s="187"/>
      <c r="AL83" s="188"/>
    </row>
    <row r="84" spans="2:38" ht="12.75" customHeight="1" x14ac:dyDescent="0.25">
      <c r="B84" s="270" t="s">
        <v>69</v>
      </c>
      <c r="C84" s="271"/>
      <c r="D84" s="271"/>
      <c r="E84" s="272" t="s">
        <v>47</v>
      </c>
      <c r="F84" s="305"/>
      <c r="G84" s="305"/>
      <c r="H84" s="305"/>
      <c r="I84" s="304"/>
      <c r="J84" s="193"/>
      <c r="K84" s="194"/>
      <c r="L84" s="194"/>
      <c r="M84" s="194"/>
      <c r="N84" s="194"/>
      <c r="O84" s="194"/>
      <c r="P84" s="194"/>
      <c r="Q84" s="194"/>
      <c r="R84" s="194"/>
      <c r="S84" s="194"/>
      <c r="T84" s="194"/>
      <c r="U84" s="194"/>
      <c r="V84" s="194"/>
      <c r="W84" s="194"/>
      <c r="X84" s="194"/>
      <c r="Y84" s="147"/>
      <c r="Z84" s="147"/>
      <c r="AA84" s="147"/>
      <c r="AB84" s="147"/>
      <c r="AC84" s="147"/>
      <c r="AD84" s="147"/>
      <c r="AE84" s="147"/>
      <c r="AF84" s="147"/>
      <c r="AG84" s="148"/>
      <c r="AH84" s="187"/>
      <c r="AI84" s="187"/>
      <c r="AJ84" s="187"/>
      <c r="AK84" s="187"/>
      <c r="AL84" s="188"/>
    </row>
    <row r="85" spans="2:38" ht="12.75" customHeight="1" x14ac:dyDescent="0.25">
      <c r="B85" s="270"/>
      <c r="C85" s="271"/>
      <c r="D85" s="271"/>
      <c r="E85" s="272"/>
      <c r="F85" s="273"/>
      <c r="G85" s="273"/>
      <c r="H85" s="273"/>
      <c r="I85" s="37"/>
      <c r="J85" s="193"/>
      <c r="K85" s="194"/>
      <c r="L85" s="194"/>
      <c r="M85" s="194"/>
      <c r="N85" s="194"/>
      <c r="O85" s="194"/>
      <c r="P85" s="194"/>
      <c r="Q85" s="194"/>
      <c r="R85" s="194"/>
      <c r="S85" s="194"/>
      <c r="T85" s="194"/>
      <c r="U85" s="194"/>
      <c r="V85" s="194"/>
      <c r="W85" s="194"/>
      <c r="X85" s="194"/>
      <c r="Y85" s="147"/>
      <c r="Z85" s="147"/>
      <c r="AA85" s="147"/>
      <c r="AB85" s="147"/>
      <c r="AC85" s="147"/>
      <c r="AD85" s="147"/>
      <c r="AE85" s="147"/>
      <c r="AF85" s="147"/>
      <c r="AG85" s="148"/>
      <c r="AH85" s="187"/>
      <c r="AI85" s="187"/>
      <c r="AJ85" s="187"/>
      <c r="AK85" s="187"/>
      <c r="AL85" s="188"/>
    </row>
    <row r="86" spans="2:38" ht="12.75" customHeight="1" x14ac:dyDescent="0.25">
      <c r="B86" s="270"/>
      <c r="C86" s="271"/>
      <c r="D86" s="271"/>
      <c r="E86" s="272"/>
      <c r="F86" s="273"/>
      <c r="G86" s="273"/>
      <c r="H86" s="273"/>
      <c r="I86" s="37"/>
      <c r="J86" s="193"/>
      <c r="K86" s="194"/>
      <c r="L86" s="194"/>
      <c r="M86" s="194"/>
      <c r="N86" s="194"/>
      <c r="O86" s="194"/>
      <c r="P86" s="194"/>
      <c r="Q86" s="194"/>
      <c r="R86" s="194"/>
      <c r="S86" s="194"/>
      <c r="T86" s="194"/>
      <c r="U86" s="194"/>
      <c r="V86" s="194"/>
      <c r="W86" s="194"/>
      <c r="X86" s="194"/>
      <c r="Y86" s="147"/>
      <c r="Z86" s="147"/>
      <c r="AA86" s="147"/>
      <c r="AB86" s="147"/>
      <c r="AC86" s="147"/>
      <c r="AD86" s="147"/>
      <c r="AE86" s="147"/>
      <c r="AF86" s="147"/>
      <c r="AG86" s="148"/>
      <c r="AH86" s="187"/>
      <c r="AI86" s="187"/>
      <c r="AJ86" s="187"/>
      <c r="AK86" s="187"/>
      <c r="AL86" s="188"/>
    </row>
    <row r="87" spans="2:38" ht="42.75" customHeight="1" thickBot="1" x14ac:dyDescent="0.3">
      <c r="B87" s="38"/>
      <c r="C87" s="39"/>
      <c r="D87" s="39"/>
      <c r="E87" s="38"/>
      <c r="F87" s="39"/>
      <c r="G87" s="39"/>
      <c r="H87" s="39"/>
      <c r="I87" s="40"/>
      <c r="J87" s="195"/>
      <c r="K87" s="196"/>
      <c r="L87" s="196"/>
      <c r="M87" s="196"/>
      <c r="N87" s="196"/>
      <c r="O87" s="196"/>
      <c r="P87" s="196"/>
      <c r="Q87" s="196"/>
      <c r="R87" s="196"/>
      <c r="S87" s="196"/>
      <c r="T87" s="196"/>
      <c r="U87" s="196"/>
      <c r="V87" s="196"/>
      <c r="W87" s="196"/>
      <c r="X87" s="196"/>
      <c r="Y87" s="153"/>
      <c r="Z87" s="153"/>
      <c r="AA87" s="153"/>
      <c r="AB87" s="153"/>
      <c r="AC87" s="153"/>
      <c r="AD87" s="153"/>
      <c r="AE87" s="153"/>
      <c r="AF87" s="153"/>
      <c r="AG87" s="154"/>
      <c r="AH87" s="189"/>
      <c r="AI87" s="189"/>
      <c r="AJ87" s="189"/>
      <c r="AK87" s="189"/>
      <c r="AL87" s="190"/>
    </row>
    <row r="88" spans="2:38" ht="12.75" customHeight="1" thickBot="1" x14ac:dyDescent="0.3">
      <c r="J88" s="41"/>
      <c r="K88" s="41"/>
      <c r="L88" s="41"/>
      <c r="M88" s="41"/>
      <c r="N88" s="41"/>
      <c r="O88" s="41"/>
      <c r="P88" s="41"/>
      <c r="Q88" s="41"/>
      <c r="R88" s="41"/>
      <c r="S88" s="41"/>
      <c r="T88" s="41"/>
      <c r="U88" s="41"/>
      <c r="V88" s="41"/>
      <c r="W88" s="41"/>
      <c r="X88" s="41"/>
      <c r="AH88" s="42"/>
      <c r="AI88" s="42"/>
      <c r="AJ88" s="42"/>
      <c r="AK88" s="42"/>
      <c r="AL88" s="42"/>
    </row>
    <row r="89" spans="2:38" ht="18" hidden="1" customHeight="1" x14ac:dyDescent="0.25">
      <c r="B89" s="255" t="s">
        <v>55</v>
      </c>
      <c r="C89" s="256"/>
      <c r="D89" s="256"/>
      <c r="E89" s="256"/>
      <c r="F89" s="256"/>
      <c r="G89" s="256"/>
      <c r="H89" s="256"/>
      <c r="I89" s="256"/>
      <c r="J89" s="256"/>
      <c r="K89" s="256"/>
      <c r="L89" s="256"/>
      <c r="M89" s="256"/>
      <c r="N89" s="256"/>
      <c r="O89" s="256"/>
      <c r="P89" s="256"/>
      <c r="Q89" s="256"/>
      <c r="R89" s="256"/>
      <c r="S89" s="256"/>
      <c r="T89" s="256"/>
      <c r="U89" s="256"/>
      <c r="V89" s="256"/>
      <c r="W89" s="256"/>
      <c r="X89" s="256"/>
      <c r="Y89" s="256"/>
      <c r="Z89" s="256"/>
      <c r="AA89" s="256"/>
      <c r="AB89" s="256"/>
      <c r="AC89" s="256"/>
      <c r="AD89" s="256"/>
      <c r="AE89" s="256"/>
      <c r="AF89" s="256"/>
      <c r="AG89" s="256"/>
      <c r="AH89" s="256"/>
      <c r="AI89" s="256"/>
      <c r="AJ89" s="256"/>
      <c r="AK89" s="256"/>
      <c r="AL89" s="256"/>
    </row>
    <row r="90" spans="2:38" ht="18" hidden="1" customHeight="1" thickBot="1" x14ac:dyDescent="0.3">
      <c r="B90" s="257"/>
      <c r="C90" s="257"/>
      <c r="D90" s="257"/>
      <c r="E90" s="257"/>
      <c r="F90" s="257"/>
      <c r="G90" s="257"/>
      <c r="H90" s="257"/>
      <c r="I90" s="257"/>
      <c r="J90" s="257"/>
      <c r="K90" s="257"/>
      <c r="L90" s="257"/>
      <c r="M90" s="257"/>
      <c r="N90" s="257"/>
      <c r="O90" s="257"/>
      <c r="P90" s="257"/>
      <c r="Q90" s="257"/>
      <c r="R90" s="257"/>
      <c r="S90" s="257"/>
      <c r="T90" s="257"/>
      <c r="U90" s="257"/>
      <c r="V90" s="257"/>
      <c r="W90" s="257"/>
      <c r="X90" s="257"/>
      <c r="Y90" s="257"/>
      <c r="Z90" s="257"/>
      <c r="AA90" s="257"/>
      <c r="AB90" s="257"/>
      <c r="AC90" s="257"/>
      <c r="AD90" s="257"/>
      <c r="AE90" s="257"/>
      <c r="AF90" s="257"/>
      <c r="AG90" s="257"/>
      <c r="AH90" s="257"/>
      <c r="AI90" s="257"/>
      <c r="AJ90" s="257"/>
      <c r="AK90" s="257"/>
      <c r="AL90" s="257"/>
    </row>
    <row r="91" spans="2:38" ht="31.5" customHeight="1" thickBot="1" x14ac:dyDescent="0.3">
      <c r="B91" s="274" t="s">
        <v>42</v>
      </c>
      <c r="C91" s="275"/>
      <c r="D91" s="275"/>
      <c r="E91" s="275"/>
      <c r="F91" s="275"/>
      <c r="G91" s="275"/>
      <c r="H91" s="275"/>
      <c r="I91" s="68"/>
      <c r="J91" s="144" t="s">
        <v>21</v>
      </c>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69" t="s">
        <v>22</v>
      </c>
      <c r="AI91" s="43"/>
      <c r="AJ91" s="43"/>
      <c r="AK91" s="43"/>
      <c r="AL91" s="44"/>
    </row>
    <row r="92" spans="2:38" ht="12.75" customHeight="1" x14ac:dyDescent="0.25">
      <c r="B92" s="276" t="s">
        <v>30</v>
      </c>
      <c r="C92" s="277"/>
      <c r="D92" s="278"/>
      <c r="E92" s="267" t="s">
        <v>27</v>
      </c>
      <c r="F92" s="269"/>
      <c r="G92" s="269"/>
      <c r="H92" s="269"/>
      <c r="I92" s="45"/>
      <c r="J92" s="145" t="s">
        <v>43</v>
      </c>
      <c r="K92" s="146"/>
      <c r="L92" s="146"/>
      <c r="M92" s="146"/>
      <c r="N92" s="146"/>
      <c r="O92" s="146"/>
      <c r="P92" s="146"/>
      <c r="Q92" s="146"/>
      <c r="R92" s="146"/>
      <c r="S92" s="146"/>
      <c r="T92" s="146"/>
      <c r="U92" s="146"/>
      <c r="V92" s="146"/>
      <c r="W92" s="146"/>
      <c r="X92" s="146"/>
      <c r="Y92" s="147"/>
      <c r="Z92" s="147"/>
      <c r="AA92" s="147"/>
      <c r="AB92" s="147"/>
      <c r="AC92" s="147"/>
      <c r="AD92" s="147"/>
      <c r="AE92" s="147"/>
      <c r="AF92" s="147"/>
      <c r="AG92" s="148"/>
      <c r="AH92" s="123" t="s">
        <v>73</v>
      </c>
      <c r="AI92" s="124"/>
      <c r="AJ92" s="124"/>
      <c r="AK92" s="124"/>
      <c r="AL92" s="125"/>
    </row>
    <row r="93" spans="2:38" ht="12.75" customHeight="1" x14ac:dyDescent="0.25">
      <c r="B93" s="266" t="s">
        <v>78</v>
      </c>
      <c r="C93" s="267"/>
      <c r="D93" s="268"/>
      <c r="E93" s="267" t="s">
        <v>40</v>
      </c>
      <c r="F93" s="269"/>
      <c r="G93" s="269"/>
      <c r="H93" s="269"/>
      <c r="I93" s="45"/>
      <c r="J93" s="145"/>
      <c r="K93" s="146"/>
      <c r="L93" s="146"/>
      <c r="M93" s="146"/>
      <c r="N93" s="146"/>
      <c r="O93" s="146"/>
      <c r="P93" s="146"/>
      <c r="Q93" s="146"/>
      <c r="R93" s="146"/>
      <c r="S93" s="146"/>
      <c r="T93" s="146"/>
      <c r="U93" s="146"/>
      <c r="V93" s="146"/>
      <c r="W93" s="146"/>
      <c r="X93" s="146"/>
      <c r="Y93" s="147"/>
      <c r="Z93" s="147"/>
      <c r="AA93" s="147"/>
      <c r="AB93" s="147"/>
      <c r="AC93" s="147"/>
      <c r="AD93" s="147"/>
      <c r="AE93" s="147"/>
      <c r="AF93" s="147"/>
      <c r="AG93" s="148"/>
      <c r="AH93" s="124"/>
      <c r="AI93" s="124"/>
      <c r="AJ93" s="124"/>
      <c r="AK93" s="124"/>
      <c r="AL93" s="125"/>
    </row>
    <row r="94" spans="2:38" ht="12.75" customHeight="1" x14ac:dyDescent="0.25">
      <c r="B94" s="266"/>
      <c r="C94" s="267"/>
      <c r="D94" s="268"/>
      <c r="E94" s="267" t="s">
        <v>29</v>
      </c>
      <c r="F94" s="269"/>
      <c r="G94" s="269"/>
      <c r="H94" s="269"/>
      <c r="I94" s="45"/>
      <c r="J94" s="145"/>
      <c r="K94" s="146"/>
      <c r="L94" s="146"/>
      <c r="M94" s="146"/>
      <c r="N94" s="146"/>
      <c r="O94" s="146"/>
      <c r="P94" s="146"/>
      <c r="Q94" s="146"/>
      <c r="R94" s="146"/>
      <c r="S94" s="146"/>
      <c r="T94" s="146"/>
      <c r="U94" s="146"/>
      <c r="V94" s="146"/>
      <c r="W94" s="146"/>
      <c r="X94" s="146"/>
      <c r="Y94" s="147"/>
      <c r="Z94" s="147"/>
      <c r="AA94" s="147"/>
      <c r="AB94" s="147"/>
      <c r="AC94" s="147"/>
      <c r="AD94" s="147"/>
      <c r="AE94" s="147"/>
      <c r="AF94" s="147"/>
      <c r="AG94" s="148"/>
      <c r="AH94" s="124"/>
      <c r="AI94" s="124"/>
      <c r="AJ94" s="124"/>
      <c r="AK94" s="124"/>
      <c r="AL94" s="125"/>
    </row>
    <row r="95" spans="2:38" ht="12.75" customHeight="1" x14ac:dyDescent="0.25">
      <c r="B95" s="266"/>
      <c r="C95" s="267"/>
      <c r="D95" s="268"/>
      <c r="E95" s="267" t="s">
        <v>26</v>
      </c>
      <c r="F95" s="269"/>
      <c r="G95" s="269"/>
      <c r="H95" s="269"/>
      <c r="I95" s="45"/>
      <c r="J95" s="145"/>
      <c r="K95" s="146"/>
      <c r="L95" s="146"/>
      <c r="M95" s="146"/>
      <c r="N95" s="146"/>
      <c r="O95" s="146"/>
      <c r="P95" s="146"/>
      <c r="Q95" s="146"/>
      <c r="R95" s="146"/>
      <c r="S95" s="146"/>
      <c r="T95" s="146"/>
      <c r="U95" s="146"/>
      <c r="V95" s="146"/>
      <c r="W95" s="146"/>
      <c r="X95" s="146"/>
      <c r="Y95" s="147"/>
      <c r="Z95" s="147"/>
      <c r="AA95" s="147"/>
      <c r="AB95" s="147"/>
      <c r="AC95" s="147"/>
      <c r="AD95" s="147"/>
      <c r="AE95" s="147"/>
      <c r="AF95" s="147"/>
      <c r="AG95" s="148"/>
      <c r="AH95" s="124"/>
      <c r="AI95" s="124"/>
      <c r="AJ95" s="124"/>
      <c r="AK95" s="124"/>
      <c r="AL95" s="125"/>
    </row>
    <row r="96" spans="2:38" ht="12.75" customHeight="1" x14ac:dyDescent="0.25">
      <c r="B96" s="266" t="s">
        <v>69</v>
      </c>
      <c r="C96" s="267"/>
      <c r="D96" s="268"/>
      <c r="E96" s="267" t="s">
        <v>47</v>
      </c>
      <c r="F96" s="269"/>
      <c r="G96" s="269"/>
      <c r="H96" s="269"/>
      <c r="I96" s="45"/>
      <c r="J96" s="145"/>
      <c r="K96" s="146"/>
      <c r="L96" s="146"/>
      <c r="M96" s="146"/>
      <c r="N96" s="146"/>
      <c r="O96" s="146"/>
      <c r="P96" s="146"/>
      <c r="Q96" s="146"/>
      <c r="R96" s="146"/>
      <c r="S96" s="146"/>
      <c r="T96" s="146"/>
      <c r="U96" s="146"/>
      <c r="V96" s="146"/>
      <c r="W96" s="146"/>
      <c r="X96" s="146"/>
      <c r="Y96" s="147"/>
      <c r="Z96" s="147"/>
      <c r="AA96" s="147"/>
      <c r="AB96" s="147"/>
      <c r="AC96" s="147"/>
      <c r="AD96" s="147"/>
      <c r="AE96" s="147"/>
      <c r="AF96" s="147"/>
      <c r="AG96" s="148"/>
      <c r="AH96" s="124"/>
      <c r="AI96" s="124"/>
      <c r="AJ96" s="124"/>
      <c r="AK96" s="124"/>
      <c r="AL96" s="125"/>
    </row>
    <row r="97" spans="2:38" ht="12.75" customHeight="1" x14ac:dyDescent="0.25">
      <c r="B97" s="46"/>
      <c r="C97" s="47"/>
      <c r="D97" s="66"/>
      <c r="E97" s="47"/>
      <c r="F97" s="47"/>
      <c r="G97" s="47"/>
      <c r="H97" s="47"/>
      <c r="I97" s="47"/>
      <c r="J97" s="149"/>
      <c r="K97" s="150"/>
      <c r="L97" s="150"/>
      <c r="M97" s="150"/>
      <c r="N97" s="150"/>
      <c r="O97" s="150"/>
      <c r="P97" s="150"/>
      <c r="Q97" s="150"/>
      <c r="R97" s="150"/>
      <c r="S97" s="150"/>
      <c r="T97" s="150"/>
      <c r="U97" s="150"/>
      <c r="V97" s="150"/>
      <c r="W97" s="150"/>
      <c r="X97" s="150"/>
      <c r="Y97" s="147"/>
      <c r="Z97" s="147"/>
      <c r="AA97" s="147"/>
      <c r="AB97" s="147"/>
      <c r="AC97" s="147"/>
      <c r="AD97" s="147"/>
      <c r="AE97" s="147"/>
      <c r="AF97" s="147"/>
      <c r="AG97" s="148"/>
      <c r="AH97" s="126"/>
      <c r="AI97" s="126"/>
      <c r="AJ97" s="126"/>
      <c r="AK97" s="126"/>
      <c r="AL97" s="127"/>
    </row>
    <row r="98" spans="2:38" ht="75" customHeight="1" thickBot="1" x14ac:dyDescent="0.3">
      <c r="B98" s="48"/>
      <c r="C98" s="49"/>
      <c r="D98" s="67"/>
      <c r="E98" s="49"/>
      <c r="F98" s="49"/>
      <c r="G98" s="49"/>
      <c r="H98" s="49"/>
      <c r="I98" s="49"/>
      <c r="J98" s="151"/>
      <c r="K98" s="152"/>
      <c r="L98" s="152"/>
      <c r="M98" s="152"/>
      <c r="N98" s="152"/>
      <c r="O98" s="152"/>
      <c r="P98" s="152"/>
      <c r="Q98" s="152"/>
      <c r="R98" s="152"/>
      <c r="S98" s="152"/>
      <c r="T98" s="152"/>
      <c r="U98" s="152"/>
      <c r="V98" s="152"/>
      <c r="W98" s="152"/>
      <c r="X98" s="152"/>
      <c r="Y98" s="153"/>
      <c r="Z98" s="153"/>
      <c r="AA98" s="153"/>
      <c r="AB98" s="153"/>
      <c r="AC98" s="153"/>
      <c r="AD98" s="153"/>
      <c r="AE98" s="153"/>
      <c r="AF98" s="153"/>
      <c r="AG98" s="154"/>
      <c r="AH98" s="128"/>
      <c r="AI98" s="128"/>
      <c r="AJ98" s="128"/>
      <c r="AK98" s="128"/>
      <c r="AL98" s="129"/>
    </row>
    <row r="99" spans="2:38" ht="12.75" customHeight="1" thickBot="1" x14ac:dyDescent="0.3"/>
    <row r="100" spans="2:38" ht="15.75" thickBot="1" x14ac:dyDescent="0.3">
      <c r="B100" s="120" t="s">
        <v>44</v>
      </c>
      <c r="C100" s="121"/>
      <c r="D100" s="121"/>
      <c r="E100" s="121"/>
      <c r="F100" s="121"/>
      <c r="G100" s="121"/>
      <c r="H100" s="121"/>
      <c r="I100" s="50"/>
      <c r="J100" s="168" t="s">
        <v>21</v>
      </c>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67"/>
      <c r="AH100" s="70" t="s">
        <v>22</v>
      </c>
      <c r="AI100" s="51"/>
      <c r="AJ100" s="51"/>
      <c r="AK100" s="51"/>
      <c r="AL100" s="52"/>
    </row>
    <row r="101" spans="2:38" ht="12.75" customHeight="1" x14ac:dyDescent="0.25">
      <c r="B101" s="285" t="s">
        <v>30</v>
      </c>
      <c r="C101" s="286"/>
      <c r="D101" s="287"/>
      <c r="E101" s="286" t="s">
        <v>47</v>
      </c>
      <c r="F101" s="288"/>
      <c r="G101" s="288"/>
      <c r="H101" s="288"/>
      <c r="I101" s="53"/>
      <c r="J101" s="155" t="s">
        <v>45</v>
      </c>
      <c r="K101" s="156"/>
      <c r="L101" s="156"/>
      <c r="M101" s="156"/>
      <c r="N101" s="156"/>
      <c r="O101" s="156"/>
      <c r="P101" s="156"/>
      <c r="Q101" s="156"/>
      <c r="R101" s="156"/>
      <c r="S101" s="156"/>
      <c r="T101" s="156"/>
      <c r="U101" s="156"/>
      <c r="V101" s="156"/>
      <c r="W101" s="156"/>
      <c r="X101" s="156"/>
      <c r="Y101" s="157"/>
      <c r="Z101" s="157"/>
      <c r="AA101" s="157"/>
      <c r="AB101" s="157"/>
      <c r="AC101" s="157"/>
      <c r="AD101" s="157"/>
      <c r="AE101" s="157"/>
      <c r="AF101" s="157"/>
      <c r="AG101" s="158"/>
      <c r="AH101" s="130" t="s">
        <v>75</v>
      </c>
      <c r="AI101" s="131"/>
      <c r="AJ101" s="131"/>
      <c r="AK101" s="131"/>
      <c r="AL101" s="132"/>
    </row>
    <row r="102" spans="2:38" ht="12.75" customHeight="1" x14ac:dyDescent="0.25">
      <c r="B102" s="289" t="s">
        <v>78</v>
      </c>
      <c r="C102" s="290"/>
      <c r="D102" s="291"/>
      <c r="E102" s="290" t="s">
        <v>40</v>
      </c>
      <c r="F102" s="292"/>
      <c r="G102" s="292"/>
      <c r="H102" s="292"/>
      <c r="I102" s="54"/>
      <c r="J102" s="159"/>
      <c r="K102" s="160"/>
      <c r="L102" s="160"/>
      <c r="M102" s="160"/>
      <c r="N102" s="160"/>
      <c r="O102" s="160"/>
      <c r="P102" s="160"/>
      <c r="Q102" s="160"/>
      <c r="R102" s="160"/>
      <c r="S102" s="160"/>
      <c r="T102" s="160"/>
      <c r="U102" s="160"/>
      <c r="V102" s="160"/>
      <c r="W102" s="160"/>
      <c r="X102" s="160"/>
      <c r="Y102" s="147"/>
      <c r="Z102" s="147"/>
      <c r="AA102" s="147"/>
      <c r="AB102" s="147"/>
      <c r="AC102" s="147"/>
      <c r="AD102" s="147"/>
      <c r="AE102" s="147"/>
      <c r="AF102" s="147"/>
      <c r="AG102" s="148"/>
      <c r="AH102" s="133"/>
      <c r="AI102" s="133"/>
      <c r="AJ102" s="133"/>
      <c r="AK102" s="133"/>
      <c r="AL102" s="134"/>
    </row>
    <row r="103" spans="2:38" ht="12.75" customHeight="1" x14ac:dyDescent="0.25">
      <c r="B103" s="97"/>
      <c r="C103" s="98"/>
      <c r="D103" s="99"/>
      <c r="E103" s="98" t="s">
        <v>28</v>
      </c>
      <c r="F103" s="54"/>
      <c r="G103" s="54"/>
      <c r="H103" s="54"/>
      <c r="I103" s="54"/>
      <c r="J103" s="159"/>
      <c r="K103" s="160"/>
      <c r="L103" s="160"/>
      <c r="M103" s="160"/>
      <c r="N103" s="160"/>
      <c r="O103" s="160"/>
      <c r="P103" s="160"/>
      <c r="Q103" s="160"/>
      <c r="R103" s="160"/>
      <c r="S103" s="160"/>
      <c r="T103" s="160"/>
      <c r="U103" s="160"/>
      <c r="V103" s="160"/>
      <c r="W103" s="160"/>
      <c r="X103" s="160"/>
      <c r="Y103" s="147"/>
      <c r="Z103" s="147"/>
      <c r="AA103" s="147"/>
      <c r="AB103" s="147"/>
      <c r="AC103" s="147"/>
      <c r="AD103" s="147"/>
      <c r="AE103" s="147"/>
      <c r="AF103" s="147"/>
      <c r="AG103" s="148"/>
      <c r="AH103" s="133"/>
      <c r="AI103" s="133"/>
      <c r="AJ103" s="133"/>
      <c r="AK103" s="133"/>
      <c r="AL103" s="134"/>
    </row>
    <row r="104" spans="2:38" ht="84" customHeight="1" thickBot="1" x14ac:dyDescent="0.3">
      <c r="B104" s="293"/>
      <c r="C104" s="294"/>
      <c r="D104" s="295"/>
      <c r="E104" s="294" t="s">
        <v>26</v>
      </c>
      <c r="F104" s="296"/>
      <c r="G104" s="296"/>
      <c r="H104" s="296"/>
      <c r="I104" s="55"/>
      <c r="J104" s="161"/>
      <c r="K104" s="162"/>
      <c r="L104" s="162"/>
      <c r="M104" s="162"/>
      <c r="N104" s="162"/>
      <c r="O104" s="162"/>
      <c r="P104" s="162"/>
      <c r="Q104" s="162"/>
      <c r="R104" s="162"/>
      <c r="S104" s="162"/>
      <c r="T104" s="162"/>
      <c r="U104" s="162"/>
      <c r="V104" s="162"/>
      <c r="W104" s="162"/>
      <c r="X104" s="162"/>
      <c r="Y104" s="153"/>
      <c r="Z104" s="153"/>
      <c r="AA104" s="153"/>
      <c r="AB104" s="153"/>
      <c r="AC104" s="153"/>
      <c r="AD104" s="153"/>
      <c r="AE104" s="153"/>
      <c r="AF104" s="153"/>
      <c r="AG104" s="154"/>
      <c r="AH104" s="135"/>
      <c r="AI104" s="135"/>
      <c r="AJ104" s="135"/>
      <c r="AK104" s="135"/>
      <c r="AL104" s="136"/>
    </row>
    <row r="105" spans="2:38" ht="12.75" customHeight="1" thickBot="1" x14ac:dyDescent="0.3"/>
    <row r="106" spans="2:38" ht="31.5" customHeight="1" thickBot="1" x14ac:dyDescent="0.3">
      <c r="B106" s="258" t="s">
        <v>46</v>
      </c>
      <c r="C106" s="259"/>
      <c r="D106" s="259"/>
      <c r="E106" s="260"/>
      <c r="F106" s="260"/>
      <c r="G106" s="260"/>
      <c r="H106" s="260"/>
      <c r="I106" s="86"/>
      <c r="J106" s="166" t="s">
        <v>21</v>
      </c>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67"/>
      <c r="AH106" s="71" t="s">
        <v>22</v>
      </c>
      <c r="AI106" s="56"/>
      <c r="AJ106" s="56"/>
      <c r="AK106" s="56"/>
      <c r="AL106" s="57"/>
    </row>
    <row r="107" spans="2:38" ht="12.75" customHeight="1" x14ac:dyDescent="0.25">
      <c r="B107" s="261" t="s">
        <v>30</v>
      </c>
      <c r="C107" s="262"/>
      <c r="D107" s="263"/>
      <c r="E107" s="264" t="s">
        <v>47</v>
      </c>
      <c r="F107" s="265"/>
      <c r="G107" s="265"/>
      <c r="H107" s="265"/>
      <c r="I107" s="59"/>
      <c r="J107" s="163" t="s">
        <v>65</v>
      </c>
      <c r="K107" s="163"/>
      <c r="L107" s="163"/>
      <c r="M107" s="163"/>
      <c r="N107" s="163"/>
      <c r="O107" s="163"/>
      <c r="P107" s="163"/>
      <c r="Q107" s="163"/>
      <c r="R107" s="163"/>
      <c r="S107" s="163"/>
      <c r="T107" s="163"/>
      <c r="U107" s="163"/>
      <c r="V107" s="163"/>
      <c r="W107" s="163"/>
      <c r="X107" s="163"/>
      <c r="Y107" s="157"/>
      <c r="Z107" s="157"/>
      <c r="AA107" s="157"/>
      <c r="AB107" s="157"/>
      <c r="AC107" s="157"/>
      <c r="AD107" s="157"/>
      <c r="AE107" s="157"/>
      <c r="AF107" s="157"/>
      <c r="AG107" s="158"/>
      <c r="AH107" s="137" t="s">
        <v>60</v>
      </c>
      <c r="AI107" s="138"/>
      <c r="AJ107" s="138"/>
      <c r="AK107" s="138"/>
      <c r="AL107" s="139"/>
    </row>
    <row r="108" spans="2:38" ht="12.75" customHeight="1" x14ac:dyDescent="0.25">
      <c r="B108" s="204" t="s">
        <v>78</v>
      </c>
      <c r="C108" s="205"/>
      <c r="D108" s="206"/>
      <c r="E108" s="207" t="s">
        <v>26</v>
      </c>
      <c r="F108" s="208"/>
      <c r="G108" s="208"/>
      <c r="H108" s="208"/>
      <c r="I108" s="60"/>
      <c r="J108" s="164"/>
      <c r="K108" s="164"/>
      <c r="L108" s="164"/>
      <c r="M108" s="164"/>
      <c r="N108" s="164"/>
      <c r="O108" s="164"/>
      <c r="P108" s="164"/>
      <c r="Q108" s="164"/>
      <c r="R108" s="164"/>
      <c r="S108" s="164"/>
      <c r="T108" s="164"/>
      <c r="U108" s="164"/>
      <c r="V108" s="164"/>
      <c r="W108" s="164"/>
      <c r="X108" s="164"/>
      <c r="Y108" s="147"/>
      <c r="Z108" s="147"/>
      <c r="AA108" s="147"/>
      <c r="AB108" s="147"/>
      <c r="AC108" s="147"/>
      <c r="AD108" s="147"/>
      <c r="AE108" s="147"/>
      <c r="AF108" s="147"/>
      <c r="AG108" s="148"/>
      <c r="AH108" s="140"/>
      <c r="AI108" s="140"/>
      <c r="AJ108" s="140"/>
      <c r="AK108" s="140"/>
      <c r="AL108" s="141"/>
    </row>
    <row r="109" spans="2:38" ht="12.75" customHeight="1" x14ac:dyDescent="0.25">
      <c r="B109" s="284" t="s">
        <v>34</v>
      </c>
      <c r="C109" s="205"/>
      <c r="D109" s="206"/>
      <c r="E109" s="207" t="s">
        <v>32</v>
      </c>
      <c r="F109" s="208"/>
      <c r="G109" s="208"/>
      <c r="H109" s="208"/>
      <c r="I109" s="60"/>
      <c r="J109" s="164"/>
      <c r="K109" s="164"/>
      <c r="L109" s="164"/>
      <c r="M109" s="164"/>
      <c r="N109" s="164"/>
      <c r="O109" s="164"/>
      <c r="P109" s="164"/>
      <c r="Q109" s="164"/>
      <c r="R109" s="164"/>
      <c r="S109" s="164"/>
      <c r="T109" s="164"/>
      <c r="U109" s="164"/>
      <c r="V109" s="164"/>
      <c r="W109" s="164"/>
      <c r="X109" s="164"/>
      <c r="Y109" s="147"/>
      <c r="Z109" s="147"/>
      <c r="AA109" s="147"/>
      <c r="AB109" s="147"/>
      <c r="AC109" s="147"/>
      <c r="AD109" s="147"/>
      <c r="AE109" s="147"/>
      <c r="AF109" s="147"/>
      <c r="AG109" s="148"/>
      <c r="AH109" s="140"/>
      <c r="AI109" s="140"/>
      <c r="AJ109" s="140"/>
      <c r="AK109" s="140"/>
      <c r="AL109" s="141"/>
    </row>
    <row r="110" spans="2:38" ht="12.75" customHeight="1" x14ac:dyDescent="0.25">
      <c r="B110" s="284" t="s">
        <v>34</v>
      </c>
      <c r="C110" s="205"/>
      <c r="D110" s="206"/>
      <c r="E110" s="84" t="s">
        <v>57</v>
      </c>
      <c r="F110" s="85"/>
      <c r="G110" s="85"/>
      <c r="H110" s="85"/>
      <c r="I110" s="60"/>
      <c r="J110" s="164"/>
      <c r="K110" s="164"/>
      <c r="L110" s="164"/>
      <c r="M110" s="164"/>
      <c r="N110" s="164"/>
      <c r="O110" s="164"/>
      <c r="P110" s="164"/>
      <c r="Q110" s="164"/>
      <c r="R110" s="164"/>
      <c r="S110" s="164"/>
      <c r="T110" s="164"/>
      <c r="U110" s="164"/>
      <c r="V110" s="164"/>
      <c r="W110" s="164"/>
      <c r="X110" s="164"/>
      <c r="Y110" s="147"/>
      <c r="Z110" s="147"/>
      <c r="AA110" s="147"/>
      <c r="AB110" s="147"/>
      <c r="AC110" s="147"/>
      <c r="AD110" s="147"/>
      <c r="AE110" s="147"/>
      <c r="AF110" s="147"/>
      <c r="AG110" s="148"/>
      <c r="AH110" s="140"/>
      <c r="AI110" s="140"/>
      <c r="AJ110" s="140"/>
      <c r="AK110" s="140"/>
      <c r="AL110" s="141"/>
    </row>
    <row r="111" spans="2:38" ht="12.75" customHeight="1" x14ac:dyDescent="0.25">
      <c r="B111" s="82"/>
      <c r="C111" s="83"/>
      <c r="D111" s="87"/>
      <c r="E111" s="84"/>
      <c r="F111" s="85"/>
      <c r="G111" s="85"/>
      <c r="H111" s="85"/>
      <c r="I111" s="60"/>
      <c r="J111" s="164"/>
      <c r="K111" s="164"/>
      <c r="L111" s="164"/>
      <c r="M111" s="164"/>
      <c r="N111" s="164"/>
      <c r="O111" s="164"/>
      <c r="P111" s="164"/>
      <c r="Q111" s="164"/>
      <c r="R111" s="164"/>
      <c r="S111" s="164"/>
      <c r="T111" s="164"/>
      <c r="U111" s="164"/>
      <c r="V111" s="164"/>
      <c r="W111" s="164"/>
      <c r="X111" s="164"/>
      <c r="Y111" s="147"/>
      <c r="Z111" s="147"/>
      <c r="AA111" s="147"/>
      <c r="AB111" s="147"/>
      <c r="AC111" s="147"/>
      <c r="AD111" s="147"/>
      <c r="AE111" s="147"/>
      <c r="AF111" s="147"/>
      <c r="AG111" s="148"/>
      <c r="AH111" s="140"/>
      <c r="AI111" s="140"/>
      <c r="AJ111" s="140"/>
      <c r="AK111" s="140"/>
      <c r="AL111" s="141"/>
    </row>
    <row r="112" spans="2:38" ht="56.25" customHeight="1" thickBot="1" x14ac:dyDescent="0.3">
      <c r="B112" s="312"/>
      <c r="C112" s="313"/>
      <c r="D112" s="314"/>
      <c r="E112" s="61"/>
      <c r="F112" s="58"/>
      <c r="G112" s="58"/>
      <c r="H112" s="58"/>
      <c r="I112" s="62"/>
      <c r="J112" s="165"/>
      <c r="K112" s="165"/>
      <c r="L112" s="165"/>
      <c r="M112" s="165"/>
      <c r="N112" s="165"/>
      <c r="O112" s="165"/>
      <c r="P112" s="165"/>
      <c r="Q112" s="165"/>
      <c r="R112" s="165"/>
      <c r="S112" s="165"/>
      <c r="T112" s="165"/>
      <c r="U112" s="165"/>
      <c r="V112" s="165"/>
      <c r="W112" s="165"/>
      <c r="X112" s="165"/>
      <c r="Y112" s="153"/>
      <c r="Z112" s="153"/>
      <c r="AA112" s="153"/>
      <c r="AB112" s="153"/>
      <c r="AC112" s="153"/>
      <c r="AD112" s="153"/>
      <c r="AE112" s="153"/>
      <c r="AF112" s="153"/>
      <c r="AG112" s="154"/>
      <c r="AH112" s="142"/>
      <c r="AI112" s="142"/>
      <c r="AJ112" s="142"/>
      <c r="AK112" s="142"/>
      <c r="AL112" s="143"/>
    </row>
    <row r="113" spans="2:38" s="8" customFormat="1" ht="12.75" customHeight="1" thickBot="1" x14ac:dyDescent="0.25"/>
    <row r="114" spans="2:38" ht="21" customHeight="1" thickBot="1" x14ac:dyDescent="0.3">
      <c r="B114" s="120" t="s">
        <v>56</v>
      </c>
      <c r="C114" s="121"/>
      <c r="D114" s="121"/>
      <c r="E114" s="121"/>
      <c r="F114" s="121"/>
      <c r="G114" s="121"/>
      <c r="H114" s="121"/>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6"/>
    </row>
    <row r="115" spans="2:38" ht="18" customHeight="1" thickBot="1" x14ac:dyDescent="0.3">
      <c r="B115" s="109" t="s">
        <v>31</v>
      </c>
      <c r="C115" s="110"/>
      <c r="D115" s="111"/>
      <c r="E115" s="110" t="s">
        <v>26</v>
      </c>
      <c r="F115" s="112"/>
      <c r="G115" s="112"/>
      <c r="H115" s="112"/>
      <c r="I115" s="107"/>
      <c r="J115" s="113"/>
      <c r="K115" s="114"/>
      <c r="L115" s="114"/>
      <c r="M115" s="114"/>
      <c r="N115" s="114"/>
      <c r="O115" s="114"/>
      <c r="P115" s="114"/>
      <c r="Q115" s="114"/>
      <c r="R115" s="114"/>
      <c r="S115" s="114"/>
      <c r="T115" s="114"/>
      <c r="U115" s="114"/>
      <c r="V115" s="114"/>
      <c r="W115" s="114"/>
      <c r="X115" s="114"/>
      <c r="Y115" s="115"/>
      <c r="Z115" s="115"/>
      <c r="AA115" s="115"/>
      <c r="AB115" s="115"/>
      <c r="AC115" s="115"/>
      <c r="AD115" s="115"/>
      <c r="AE115" s="115"/>
      <c r="AF115" s="115"/>
      <c r="AG115" s="116"/>
      <c r="AH115" s="117"/>
      <c r="AI115" s="118"/>
      <c r="AJ115" s="118"/>
      <c r="AK115" s="118"/>
      <c r="AL115" s="119"/>
    </row>
    <row r="117" spans="2:38" ht="18" customHeight="1" x14ac:dyDescent="0.25">
      <c r="B117" s="108" t="s">
        <v>71</v>
      </c>
    </row>
  </sheetData>
  <dataConsolidate/>
  <mergeCells count="152">
    <mergeCell ref="B112:D112"/>
    <mergeCell ref="B110:D110"/>
    <mergeCell ref="B48:D48"/>
    <mergeCell ref="B49:D49"/>
    <mergeCell ref="E67:H67"/>
    <mergeCell ref="E62:H62"/>
    <mergeCell ref="B63:D63"/>
    <mergeCell ref="E63:H63"/>
    <mergeCell ref="B55:H55"/>
    <mergeCell ref="B56:D56"/>
    <mergeCell ref="E56:H56"/>
    <mergeCell ref="B57:D57"/>
    <mergeCell ref="E57:H57"/>
    <mergeCell ref="B58:D58"/>
    <mergeCell ref="E58:H58"/>
    <mergeCell ref="B59:D59"/>
    <mergeCell ref="E59:H59"/>
    <mergeCell ref="B61:D61"/>
    <mergeCell ref="E53:H53"/>
    <mergeCell ref="B78:I78"/>
    <mergeCell ref="B70:D70"/>
    <mergeCell ref="E70:H70"/>
    <mergeCell ref="B71:D71"/>
    <mergeCell ref="E71:H71"/>
    <mergeCell ref="B4:AF4"/>
    <mergeCell ref="B5:H5"/>
    <mergeCell ref="B14:H14"/>
    <mergeCell ref="B23:H23"/>
    <mergeCell ref="J5:P5"/>
    <mergeCell ref="J14:P14"/>
    <mergeCell ref="J23:P23"/>
    <mergeCell ref="R5:X5"/>
    <mergeCell ref="R14:X14"/>
    <mergeCell ref="R23:X23"/>
    <mergeCell ref="Z5:AF5"/>
    <mergeCell ref="Z14:AF14"/>
    <mergeCell ref="Z23:AF23"/>
    <mergeCell ref="E44:H44"/>
    <mergeCell ref="E46:H46"/>
    <mergeCell ref="E47:H47"/>
    <mergeCell ref="A33:XFD33"/>
    <mergeCell ref="AI13:AL13"/>
    <mergeCell ref="B41:D41"/>
    <mergeCell ref="B42:D42"/>
    <mergeCell ref="E49:H49"/>
    <mergeCell ref="E51:H51"/>
    <mergeCell ref="B50:D50"/>
    <mergeCell ref="E50:H50"/>
    <mergeCell ref="B43:D43"/>
    <mergeCell ref="B44:D44"/>
    <mergeCell ref="B45:D45"/>
    <mergeCell ref="B46:D46"/>
    <mergeCell ref="B47:D47"/>
    <mergeCell ref="E45:I45"/>
    <mergeCell ref="B72:D72"/>
    <mergeCell ref="E72:H72"/>
    <mergeCell ref="B69:D69"/>
    <mergeCell ref="B94:D94"/>
    <mergeCell ref="E94:H94"/>
    <mergeCell ref="B95:D95"/>
    <mergeCell ref="E95:H95"/>
    <mergeCell ref="B80:D80"/>
    <mergeCell ref="E80:H80"/>
    <mergeCell ref="B81:D81"/>
    <mergeCell ref="E81:H81"/>
    <mergeCell ref="B79:D79"/>
    <mergeCell ref="E79:H79"/>
    <mergeCell ref="B89:AL90"/>
    <mergeCell ref="E83:I83"/>
    <mergeCell ref="B84:D84"/>
    <mergeCell ref="E84:I84"/>
    <mergeCell ref="B109:D109"/>
    <mergeCell ref="E109:H109"/>
    <mergeCell ref="B100:H100"/>
    <mergeCell ref="B101:D101"/>
    <mergeCell ref="E101:H101"/>
    <mergeCell ref="B102:D102"/>
    <mergeCell ref="E102:H102"/>
    <mergeCell ref="B104:D104"/>
    <mergeCell ref="E104:H104"/>
    <mergeCell ref="AH5:AL5"/>
    <mergeCell ref="AI6:AL6"/>
    <mergeCell ref="AI7:AL7"/>
    <mergeCell ref="AI8:AL8"/>
    <mergeCell ref="AI9:AL9"/>
    <mergeCell ref="B38:AL39"/>
    <mergeCell ref="B106:H106"/>
    <mergeCell ref="B107:D107"/>
    <mergeCell ref="E107:H107"/>
    <mergeCell ref="B96:D96"/>
    <mergeCell ref="E96:H96"/>
    <mergeCell ref="B82:D82"/>
    <mergeCell ref="E82:H82"/>
    <mergeCell ref="B83:D83"/>
    <mergeCell ref="B85:D85"/>
    <mergeCell ref="E85:H85"/>
    <mergeCell ref="B86:D86"/>
    <mergeCell ref="E86:H86"/>
    <mergeCell ref="B91:H91"/>
    <mergeCell ref="B92:D92"/>
    <mergeCell ref="E92:H92"/>
    <mergeCell ref="B93:D93"/>
    <mergeCell ref="E93:H93"/>
    <mergeCell ref="J56:AG63"/>
    <mergeCell ref="AI10:AL10"/>
    <mergeCell ref="AI11:AL11"/>
    <mergeCell ref="AI12:AL12"/>
    <mergeCell ref="AH41:AL53"/>
    <mergeCell ref="J41:AG53"/>
    <mergeCell ref="J40:AG40"/>
    <mergeCell ref="AH15:AL21"/>
    <mergeCell ref="B68:D68"/>
    <mergeCell ref="E68:H68"/>
    <mergeCell ref="B65:H65"/>
    <mergeCell ref="B66:D66"/>
    <mergeCell ref="E66:H66"/>
    <mergeCell ref="B67:D67"/>
    <mergeCell ref="E61:H61"/>
    <mergeCell ref="B62:D62"/>
    <mergeCell ref="B60:D60"/>
    <mergeCell ref="B40:H40"/>
    <mergeCell ref="Z54:AF54"/>
    <mergeCell ref="B51:D51"/>
    <mergeCell ref="B53:D53"/>
    <mergeCell ref="E41:H41"/>
    <mergeCell ref="E42:H42"/>
    <mergeCell ref="E43:H43"/>
    <mergeCell ref="E48:H48"/>
    <mergeCell ref="B115:D115"/>
    <mergeCell ref="E115:H115"/>
    <mergeCell ref="J115:AG115"/>
    <mergeCell ref="AH115:AL115"/>
    <mergeCell ref="B114:AL114"/>
    <mergeCell ref="J55:AG55"/>
    <mergeCell ref="AH92:AL98"/>
    <mergeCell ref="AH101:AL104"/>
    <mergeCell ref="AH107:AL112"/>
    <mergeCell ref="J91:AG91"/>
    <mergeCell ref="J92:AG98"/>
    <mergeCell ref="J101:AG104"/>
    <mergeCell ref="J107:AG112"/>
    <mergeCell ref="J106:AG106"/>
    <mergeCell ref="J100:AG100"/>
    <mergeCell ref="J78:AG78"/>
    <mergeCell ref="AH56:AL63"/>
    <mergeCell ref="AH66:AL72"/>
    <mergeCell ref="AH79:AL87"/>
    <mergeCell ref="J79:AG87"/>
    <mergeCell ref="J65:AG65"/>
    <mergeCell ref="J66:AG72"/>
    <mergeCell ref="B108:D108"/>
    <mergeCell ref="E108:H108"/>
  </mergeCells>
  <phoneticPr fontId="1" type="noConversion"/>
  <dataValidations count="38">
    <dataValidation allowBlank="1" showInputMessage="1" showErrorMessage="1" prompt="Enter Year in this cell to automatically update calendar for each month in cells B2 through AF27" sqref="B4:AF4" xr:uid="{00000000-0002-0000-0000-000000000000}"/>
    <dataValidation allowBlank="1" showInputMessage="1" showErrorMessage="1" prompt="Create a calendar for any year using this Calendar Creator worksheet. Enter Year in cell at right to automatically update calendar for each month" sqref="A4" xr:uid="{00000000-0002-0000-0000-000001000000}"/>
    <dataValidation allowBlank="1" showInputMessage="1" showErrorMessage="1" prompt="Calendar Month is in this cell. Calendar for this month is automatically updated in cells B3 through H9" sqref="B5:H5" xr:uid="{00000000-0002-0000-0000-000002000000}"/>
    <dataValidation allowBlank="1" showInputMessage="1" showErrorMessage="1" prompt="Calendar Month is in this cell. Calendar for this month is automatically updated in cells J3 through P9" sqref="J5:P5" xr:uid="{00000000-0002-0000-0000-000003000000}"/>
    <dataValidation allowBlank="1" showInputMessage="1" showErrorMessage="1" prompt="Calendar Month is in this cell. Calendar for this month is automatically updated in cells R3 through X9" sqref="R5:X5" xr:uid="{00000000-0002-0000-0000-000004000000}"/>
    <dataValidation allowBlank="1" showInputMessage="1" showErrorMessage="1" prompt="Calendar Month is in this cell. Calendar for this month is automatically updated in cells Z3 through AF9" sqref="Z5:AF5" xr:uid="{00000000-0002-0000-0000-000005000000}"/>
    <dataValidation allowBlank="1" showInputMessage="1" showErrorMessage="1" prompt="Calendar Month is in this cell. Calendar for this month is automatically updated in cells B12 through H18" sqref="B14:H14" xr:uid="{00000000-0002-0000-0000-000006000000}"/>
    <dataValidation allowBlank="1" showInputMessage="1" showErrorMessage="1" prompt="Calendar Month is in this cell. Calendar for this month is automatically updated in cells B21 through H27" sqref="B23:H23" xr:uid="{00000000-0002-0000-0000-000007000000}"/>
    <dataValidation allowBlank="1" showInputMessage="1" showErrorMessage="1" prompt="Calendar Month is in this cell. Calendar for this month is automatically updated in cells J12 through P18" sqref="J14:P14" xr:uid="{00000000-0002-0000-0000-000008000000}"/>
    <dataValidation allowBlank="1" showInputMessage="1" showErrorMessage="1" prompt="Calendar Month is in this cell. Calendar for this month is automatically updated in cells R12 through X18" sqref="R14:X14" xr:uid="{00000000-0002-0000-0000-000009000000}"/>
    <dataValidation allowBlank="1" showInputMessage="1" showErrorMessage="1" prompt="Calendar Month is in this cell. Calendar for this month is automatically updated in cells Z12 through AF18" sqref="Z14:AF14" xr:uid="{00000000-0002-0000-0000-00000A000000}"/>
    <dataValidation allowBlank="1" showInputMessage="1" showErrorMessage="1" prompt="Calendar Month is in this cell. Calendar for this month is automatically updated in cells J21 through P27" sqref="J23:P23" xr:uid="{00000000-0002-0000-0000-00000B000000}"/>
    <dataValidation allowBlank="1" showInputMessage="1" showErrorMessage="1" prompt="Calendar Month is in this cell. Calendar for this month is automatically updated in cells R21 through X27" sqref="R23:X23" xr:uid="{00000000-0002-0000-0000-00000C000000}"/>
    <dataValidation allowBlank="1" showInputMessage="1" showErrorMessage="1" prompt="Calendar Month is in this cell. Calendar for this month is automatically updated in cells Z21 through AF27" sqref="Z23:AF23" xr:uid="{00000000-0002-0000-0000-00000D000000}"/>
    <dataValidation allowBlank="1" showInputMessage="1" showErrorMessage="1" prompt="Weekdays for the month in cell above are in cells B3 through H3" sqref="B6" xr:uid="{00000000-0002-0000-0000-00000E000000}"/>
    <dataValidation allowBlank="1" showInputMessage="1" showErrorMessage="1" prompt="Weekdays for the month in cell above are in cells J3 through P3" sqref="J6" xr:uid="{00000000-0002-0000-0000-00000F000000}"/>
    <dataValidation allowBlank="1" showInputMessage="1" showErrorMessage="1" prompt="Weekdays for the month in cell above are in cells R3 through X3" sqref="R6" xr:uid="{00000000-0002-0000-0000-000010000000}"/>
    <dataValidation allowBlank="1" showInputMessage="1" showErrorMessage="1" prompt="Weekdays for the month in cell above are in cells Z3 through AF3" sqref="Z6" xr:uid="{00000000-0002-0000-0000-000011000000}"/>
    <dataValidation allowBlank="1" showInputMessage="1" showErrorMessage="1" prompt="Weekdays for the month in cell above are in cells B12 through H12" sqref="B15" xr:uid="{00000000-0002-0000-0000-000012000000}"/>
    <dataValidation allowBlank="1" showInputMessage="1" showErrorMessage="1" prompt="Weekdays for the month in cell above are in cells J12 through P12" sqref="J15" xr:uid="{00000000-0002-0000-0000-000013000000}"/>
    <dataValidation allowBlank="1" showInputMessage="1" showErrorMessage="1" prompt="Weekdays for the month in cell above are in cells R12 through X12" sqref="R15" xr:uid="{00000000-0002-0000-0000-000014000000}"/>
    <dataValidation allowBlank="1" showInputMessage="1" showErrorMessage="1" prompt="Weekdays for the month in cell above are in cells Z12 through AF12" sqref="Z15" xr:uid="{00000000-0002-0000-0000-000015000000}"/>
    <dataValidation allowBlank="1" showInputMessage="1" showErrorMessage="1" prompt="Weekdays for the month in cell above are in cells B21 through H21" sqref="B24" xr:uid="{00000000-0002-0000-0000-000016000000}"/>
    <dataValidation allowBlank="1" showInputMessage="1" showErrorMessage="1" prompt="Weekdays for the month in cell above are in cells J21 through P21" sqref="J24" xr:uid="{00000000-0002-0000-0000-000017000000}"/>
    <dataValidation allowBlank="1" showInputMessage="1" showErrorMessage="1" prompt="Weekdays for the month in cell above are in cells R21 through X21" sqref="R24" xr:uid="{00000000-0002-0000-0000-000018000000}"/>
    <dataValidation allowBlank="1" showInputMessage="1" showErrorMessage="1" prompt="Weekdays for the month in cell above are in cells Z21 through AF21" sqref="Z24" xr:uid="{00000000-0002-0000-0000-000019000000}"/>
    <dataValidation allowBlank="1" showInputMessage="1" showErrorMessage="1" prompt="Calendar days for this month are automatically updated in cells B4 through H9" sqref="B7" xr:uid="{00000000-0002-0000-0000-00001A000000}"/>
    <dataValidation allowBlank="1" showInputMessage="1" showErrorMessage="1" prompt="Calendar days for this month are automatically updated in cells J4 through P9" sqref="J7" xr:uid="{00000000-0002-0000-0000-00001B000000}"/>
    <dataValidation allowBlank="1" showInputMessage="1" showErrorMessage="1" prompt="Calendar days for this month are automatically updated in cells R4 through X9" sqref="R7" xr:uid="{00000000-0002-0000-0000-00001C000000}"/>
    <dataValidation allowBlank="1" showInputMessage="1" showErrorMessage="1" prompt="Calendar days for this month are automatically updated in cells Z4 through AF9" sqref="Z7" xr:uid="{00000000-0002-0000-0000-00001D000000}"/>
    <dataValidation allowBlank="1" showInputMessage="1" showErrorMessage="1" prompt="Calendar days for this month are automatically updated in cells B13 through H18" sqref="B16" xr:uid="{00000000-0002-0000-0000-00001E000000}"/>
    <dataValidation allowBlank="1" showInputMessage="1" showErrorMessage="1" prompt="Calendar days for this month are automatically updated in cells J13 through P18" sqref="J16" xr:uid="{00000000-0002-0000-0000-00001F000000}"/>
    <dataValidation allowBlank="1" showInputMessage="1" showErrorMessage="1" prompt="Calendar days for this month are automatically updated in cells R13 through X18" sqref="R16" xr:uid="{00000000-0002-0000-0000-000020000000}"/>
    <dataValidation allowBlank="1" showInputMessage="1" showErrorMessage="1" prompt="Calendar days for this month are automatically updated in cells Z13 through AF18" sqref="Z16" xr:uid="{00000000-0002-0000-0000-000021000000}"/>
    <dataValidation allowBlank="1" showInputMessage="1" showErrorMessage="1" prompt="Calendar days for this month are automatically updated in cells B22 through H27" sqref="B25" xr:uid="{00000000-0002-0000-0000-000022000000}"/>
    <dataValidation allowBlank="1" showInputMessage="1" showErrorMessage="1" prompt="Calendar days for this month are automatically updated in cells J22 through P27" sqref="J25" xr:uid="{00000000-0002-0000-0000-000023000000}"/>
    <dataValidation allowBlank="1" showInputMessage="1" showErrorMessage="1" prompt="Calendar days for this month are automatically updated in cells R22 through X27" sqref="R25" xr:uid="{00000000-0002-0000-0000-000024000000}"/>
    <dataValidation allowBlank="1" showInputMessage="1" showErrorMessage="1" prompt="Calendar days for this month are automatically updated in cells Z22 through AF27" sqref="Z25" xr:uid="{00000000-0002-0000-0000-000025000000}"/>
  </dataValidations>
  <printOptions horizontalCentered="1"/>
  <pageMargins left="0.25" right="0.25" top="0.75" bottom="0.75" header="0.3" footer="0.3"/>
  <pageSetup scale="73" fitToHeight="0" orientation="landscape" r:id="rId1"/>
  <headerFooter differentFirst="1">
    <oddFooter>Page &amp;P of &amp;N</oddFooter>
  </headerFooter>
  <rowBreaks count="1" manualBreakCount="1">
    <brk id="104"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25</vt:i4>
      </vt:variant>
    </vt:vector>
  </HeadingPairs>
  <TitlesOfParts>
    <vt:vector size="26" baseType="lpstr">
      <vt:lpstr>Calendar</vt:lpstr>
      <vt:lpstr>ColumnTitleRegion1..H9.1</vt:lpstr>
      <vt:lpstr>ColumnTitleRegion1..I9.1</vt:lpstr>
      <vt:lpstr>ColumnTitleRegion10..AF9.1</vt:lpstr>
      <vt:lpstr>ColumnTitleRegion10..AG9.1</vt:lpstr>
      <vt:lpstr>ColumnTitleRegion11..AF18.1</vt:lpstr>
      <vt:lpstr>ColumnTitleRegion11..AG18.1</vt:lpstr>
      <vt:lpstr>ColumnTitleRegion12..AF27.1</vt:lpstr>
      <vt:lpstr>ColumnTitleRegion12..AG27.1</vt:lpstr>
      <vt:lpstr>ColumnTitleRegion2..H18.1</vt:lpstr>
      <vt:lpstr>ColumnTitleRegion2..I18.1</vt:lpstr>
      <vt:lpstr>ColumnTitleRegion3..H27.1</vt:lpstr>
      <vt:lpstr>ColumnTitleRegion3..I27.1</vt:lpstr>
      <vt:lpstr>ColumnTitleRegion4..P9.1</vt:lpstr>
      <vt:lpstr>ColumnTitleRegion4..Q9.1</vt:lpstr>
      <vt:lpstr>ColumnTitleRegion5..P18.1</vt:lpstr>
      <vt:lpstr>ColumnTitleRegion5..Q18.1</vt:lpstr>
      <vt:lpstr>ColumnTitleRegion6..P27.1</vt:lpstr>
      <vt:lpstr>ColumnTitleRegion6..Q27.1</vt:lpstr>
      <vt:lpstr>ColumnTitleRegion7..X9.1</vt:lpstr>
      <vt:lpstr>ColumnTitleRegion7..Y9.1</vt:lpstr>
      <vt:lpstr>ColumnTitleRegion8..X18.1</vt:lpstr>
      <vt:lpstr>ColumnTitleRegion8..Y18.1</vt:lpstr>
      <vt:lpstr>ColumnTitleRegion9..X27.1</vt:lpstr>
      <vt:lpstr>ColumnTitleRegion9..Y27.1</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Polster Angela</dc:creator>
  <cp:lastModifiedBy>Polster, Angela</cp:lastModifiedBy>
  <cp:lastPrinted>2025-01-31T17:20:39Z</cp:lastPrinted>
  <dcterms:created xsi:type="dcterms:W3CDTF">2017-08-12T10:05:54Z</dcterms:created>
  <dcterms:modified xsi:type="dcterms:W3CDTF">2025-02-21T19:19:00Z</dcterms:modified>
</cp:coreProperties>
</file>